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lyHaub\Documents\"/>
    </mc:Choice>
  </mc:AlternateContent>
  <xr:revisionPtr revIDLastSave="0" documentId="13_ncr:1_{828272FA-F735-49B9-9879-052232245D09}" xr6:coauthVersionLast="47" xr6:coauthVersionMax="47" xr10:uidLastSave="{00000000-0000-0000-0000-000000000000}"/>
  <bookViews>
    <workbookView xWindow="-23148" yWindow="-108" windowWidth="23256" windowHeight="12576" xr2:uid="{9F3A2E23-A274-4B6E-87C0-AA6C9C04C886}"/>
  </bookViews>
  <sheets>
    <sheet name="Liquid Scenarios" sheetId="4" r:id="rId1"/>
    <sheet name="Dry Blend" sheetId="5" r:id="rId2"/>
    <sheet name="Input Data" sheetId="2" r:id="rId3"/>
    <sheet name="Liquid Fertilizers" sheetId="1" r:id="rId4"/>
    <sheet name="Dry Fertilizer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4" l="1"/>
  <c r="K15" i="4"/>
  <c r="K16" i="4"/>
  <c r="K17" i="4"/>
  <c r="K18" i="4"/>
  <c r="K19" i="4"/>
  <c r="J14" i="4"/>
  <c r="J15" i="4"/>
  <c r="J16" i="4"/>
  <c r="J17" i="4"/>
  <c r="J18" i="4"/>
  <c r="J19" i="4"/>
  <c r="B29" i="5"/>
  <c r="B28" i="5"/>
  <c r="B27" i="5"/>
  <c r="B26" i="5"/>
  <c r="B25" i="5"/>
  <c r="B24" i="5"/>
  <c r="B23" i="5"/>
  <c r="B22" i="5"/>
  <c r="J20" i="4" l="1"/>
  <c r="D18" i="4" l="1"/>
  <c r="E18" i="4"/>
  <c r="F18" i="4"/>
  <c r="G18" i="4"/>
  <c r="H18" i="4"/>
  <c r="I18" i="4"/>
  <c r="E14" i="4"/>
  <c r="E15" i="4"/>
  <c r="E16" i="4"/>
  <c r="E17" i="4"/>
  <c r="E19" i="4"/>
  <c r="F14" i="4"/>
  <c r="F15" i="4"/>
  <c r="F16" i="4"/>
  <c r="F17" i="4"/>
  <c r="F19" i="4"/>
  <c r="G14" i="4"/>
  <c r="G15" i="4"/>
  <c r="G16" i="4"/>
  <c r="G17" i="4"/>
  <c r="G19" i="4"/>
  <c r="H14" i="4"/>
  <c r="H15" i="4"/>
  <c r="H16" i="4"/>
  <c r="H17" i="4"/>
  <c r="H19" i="4"/>
  <c r="I14" i="4"/>
  <c r="I15" i="4"/>
  <c r="I16" i="4"/>
  <c r="I17" i="4"/>
  <c r="I19" i="4"/>
  <c r="D14" i="4"/>
  <c r="D15" i="4"/>
  <c r="D16" i="4"/>
  <c r="D17" i="4"/>
  <c r="D19" i="4"/>
  <c r="E22" i="4" l="1"/>
  <c r="E25" i="4" s="1"/>
  <c r="I22" i="4"/>
  <c r="I25" i="4" s="1"/>
  <c r="F22" i="4"/>
  <c r="F25" i="4" s="1"/>
  <c r="G22" i="4"/>
  <c r="G25" i="4" s="1"/>
  <c r="H22" i="4"/>
  <c r="H25" i="4" s="1"/>
  <c r="D22" i="4"/>
  <c r="D25" i="4" s="1"/>
  <c r="L8" i="5"/>
  <c r="L9" i="5"/>
  <c r="L10" i="5"/>
  <c r="L11" i="5"/>
  <c r="L12" i="5"/>
  <c r="L13" i="5"/>
  <c r="L14" i="5"/>
  <c r="L15" i="5"/>
  <c r="K8" i="5"/>
  <c r="K9" i="5"/>
  <c r="K10" i="5"/>
  <c r="K11" i="5"/>
  <c r="K12" i="5"/>
  <c r="K13" i="5"/>
  <c r="K14" i="5"/>
  <c r="K15" i="5"/>
  <c r="J8" i="5"/>
  <c r="J9" i="5"/>
  <c r="J10" i="5"/>
  <c r="J11" i="5"/>
  <c r="J12" i="5"/>
  <c r="J13" i="5"/>
  <c r="J14" i="5"/>
  <c r="J15" i="5"/>
  <c r="I8" i="5"/>
  <c r="I9" i="5"/>
  <c r="I10" i="5"/>
  <c r="I11" i="5"/>
  <c r="I12" i="5"/>
  <c r="I13" i="5"/>
  <c r="I14" i="5"/>
  <c r="I15" i="5"/>
  <c r="H8" i="5"/>
  <c r="H9" i="5"/>
  <c r="H10" i="5"/>
  <c r="H11" i="5"/>
  <c r="H12" i="5"/>
  <c r="H13" i="5"/>
  <c r="H14" i="5"/>
  <c r="H15" i="5"/>
  <c r="G8" i="5"/>
  <c r="G9" i="5"/>
  <c r="G10" i="5"/>
  <c r="G11" i="5"/>
  <c r="G12" i="5"/>
  <c r="G13" i="5"/>
  <c r="G14" i="5"/>
  <c r="G15" i="5"/>
  <c r="F8" i="5"/>
  <c r="F9" i="5"/>
  <c r="F10" i="5"/>
  <c r="F11" i="5"/>
  <c r="F12" i="5"/>
  <c r="F13" i="5"/>
  <c r="F14" i="5"/>
  <c r="F15" i="5"/>
  <c r="C16" i="5"/>
  <c r="D8" i="5" s="1"/>
  <c r="D22" i="5" s="1"/>
  <c r="C22" i="5" s="1"/>
  <c r="H16" i="5" l="1"/>
  <c r="K16" i="5"/>
  <c r="G16" i="5"/>
  <c r="J16" i="5"/>
  <c r="F16" i="5"/>
  <c r="I16" i="5"/>
  <c r="L16" i="5"/>
  <c r="K22" i="5"/>
  <c r="G22" i="5"/>
  <c r="J22" i="5"/>
  <c r="I22" i="5"/>
  <c r="H22" i="5"/>
  <c r="F22" i="5"/>
  <c r="L22" i="5"/>
  <c r="E22" i="5"/>
  <c r="E8" i="5"/>
  <c r="D9" i="5"/>
  <c r="D13" i="5"/>
  <c r="D12" i="5"/>
  <c r="D14" i="5"/>
  <c r="D11" i="5"/>
  <c r="D15" i="5"/>
  <c r="D10" i="5"/>
  <c r="C20" i="4"/>
  <c r="J25" i="4" s="1"/>
  <c r="E15" i="5" l="1"/>
  <c r="D29" i="5"/>
  <c r="E11" i="5"/>
  <c r="D25" i="5"/>
  <c r="E14" i="5"/>
  <c r="D28" i="5"/>
  <c r="E13" i="5"/>
  <c r="D27" i="5"/>
  <c r="E12" i="5"/>
  <c r="D26" i="5"/>
  <c r="E9" i="5"/>
  <c r="D23" i="5"/>
  <c r="E10" i="5"/>
  <c r="D24" i="5"/>
  <c r="D16" i="5"/>
  <c r="C16" i="1"/>
  <c r="D16" i="1"/>
  <c r="E16" i="1"/>
  <c r="F16" i="1"/>
  <c r="G16" i="1"/>
  <c r="G8" i="4"/>
  <c r="F8" i="4"/>
  <c r="G7" i="4"/>
  <c r="F7" i="4"/>
  <c r="G14" i="3"/>
  <c r="G15" i="3"/>
  <c r="G16" i="3"/>
  <c r="G17" i="3"/>
  <c r="G18" i="3"/>
  <c r="F14" i="3"/>
  <c r="F15" i="3"/>
  <c r="F16" i="3"/>
  <c r="F17" i="3"/>
  <c r="F18" i="3"/>
  <c r="E14" i="3"/>
  <c r="E15" i="3"/>
  <c r="E16" i="3"/>
  <c r="E17" i="3"/>
  <c r="E18" i="3"/>
  <c r="D14" i="3"/>
  <c r="D15" i="3"/>
  <c r="D16" i="3"/>
  <c r="D17" i="3"/>
  <c r="D18" i="3"/>
  <c r="C14" i="3"/>
  <c r="C15" i="3"/>
  <c r="C16" i="3"/>
  <c r="C17" i="3"/>
  <c r="C18" i="3"/>
  <c r="G6" i="3"/>
  <c r="F6" i="3"/>
  <c r="G5" i="3"/>
  <c r="F5" i="3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4" i="1"/>
  <c r="F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4" i="1"/>
  <c r="G6" i="1"/>
  <c r="G5" i="1"/>
  <c r="F6" i="1"/>
  <c r="F5" i="1"/>
  <c r="E16" i="5" l="1"/>
  <c r="C25" i="5"/>
  <c r="E25" i="5"/>
  <c r="E26" i="5"/>
  <c r="C26" i="5"/>
  <c r="E28" i="5"/>
  <c r="C28" i="5"/>
  <c r="C24" i="5"/>
  <c r="E24" i="5"/>
  <c r="E29" i="5"/>
  <c r="C29" i="5"/>
  <c r="C23" i="5"/>
  <c r="E23" i="5"/>
  <c r="D30" i="5"/>
  <c r="E27" i="5"/>
  <c r="C27" i="5"/>
  <c r="H23" i="5" l="1"/>
  <c r="F23" i="5"/>
  <c r="G23" i="5"/>
  <c r="J23" i="5"/>
  <c r="L23" i="5"/>
  <c r="K23" i="5"/>
  <c r="I23" i="5"/>
  <c r="L24" i="5"/>
  <c r="K24" i="5"/>
  <c r="J24" i="5"/>
  <c r="H24" i="5"/>
  <c r="I24" i="5"/>
  <c r="G24" i="5"/>
  <c r="F24" i="5"/>
  <c r="H26" i="5"/>
  <c r="G26" i="5"/>
  <c r="F26" i="5"/>
  <c r="L26" i="5"/>
  <c r="K26" i="5"/>
  <c r="J26" i="5"/>
  <c r="I26" i="5"/>
  <c r="L29" i="5"/>
  <c r="I29" i="5"/>
  <c r="F29" i="5"/>
  <c r="K29" i="5"/>
  <c r="G29" i="5"/>
  <c r="H29" i="5"/>
  <c r="J29" i="5"/>
  <c r="L28" i="5"/>
  <c r="K28" i="5"/>
  <c r="J28" i="5"/>
  <c r="I28" i="5"/>
  <c r="H28" i="5"/>
  <c r="G28" i="5"/>
  <c r="F28" i="5"/>
  <c r="L27" i="5"/>
  <c r="K27" i="5"/>
  <c r="J27" i="5"/>
  <c r="I27" i="5"/>
  <c r="H27" i="5"/>
  <c r="G27" i="5"/>
  <c r="F27" i="5"/>
  <c r="E30" i="5"/>
  <c r="L25" i="5"/>
  <c r="K25" i="5"/>
  <c r="J25" i="5"/>
  <c r="G25" i="5"/>
  <c r="I25" i="5"/>
  <c r="H25" i="5"/>
  <c r="F25" i="5"/>
  <c r="F30" i="5" l="1"/>
  <c r="I30" i="5"/>
  <c r="L30" i="5"/>
  <c r="J30" i="5"/>
  <c r="G30" i="5"/>
  <c r="K30" i="5"/>
  <c r="H3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1AD62A-49B6-411B-9C9B-29E6AB2B2DE5}" keepAlive="1" name="Query - LiqAnalysis" description="Connection to the 'LiqAnalysis' query in the workbook." type="5" refreshedVersion="0" background="1">
    <dbPr connection="Provider=Microsoft.Mashup.OleDb.1;Data Source=$Workbook$;Location=LiqAnalysis;Extended Properties=&quot;&quot;" command="SELECT * FROM [LiqAnalysis]"/>
  </connection>
</connections>
</file>

<file path=xl/sharedStrings.xml><?xml version="1.0" encoding="utf-8"?>
<sst xmlns="http://schemas.openxmlformats.org/spreadsheetml/2006/main" count="208" uniqueCount="87">
  <si>
    <t>Bu</t>
  </si>
  <si>
    <t>Corn</t>
  </si>
  <si>
    <t>Crop</t>
  </si>
  <si>
    <t>P</t>
  </si>
  <si>
    <t xml:space="preserve">K </t>
  </si>
  <si>
    <t>K2O</t>
  </si>
  <si>
    <t>P2O5</t>
  </si>
  <si>
    <t>Removal Rates</t>
  </si>
  <si>
    <t>Soybeans</t>
  </si>
  <si>
    <t>Replacement Rate</t>
  </si>
  <si>
    <t>Desired Analysis</t>
  </si>
  <si>
    <t>Product</t>
  </si>
  <si>
    <t>10-34-0</t>
  </si>
  <si>
    <t>7-21-7</t>
  </si>
  <si>
    <t>0-0-32</t>
  </si>
  <si>
    <t>12-0-0-26</t>
  </si>
  <si>
    <t>32-0-0</t>
  </si>
  <si>
    <t>28-0-0</t>
  </si>
  <si>
    <t>N</t>
  </si>
  <si>
    <t>K</t>
  </si>
  <si>
    <t>S</t>
  </si>
  <si>
    <t>Density</t>
  </si>
  <si>
    <t>Zn</t>
  </si>
  <si>
    <t>6-24-6</t>
  </si>
  <si>
    <t>9-18-9</t>
  </si>
  <si>
    <t>3-18-18</t>
  </si>
  <si>
    <t>11-37-0</t>
  </si>
  <si>
    <t>10-0-0-10ZN</t>
  </si>
  <si>
    <t>4-10-10</t>
  </si>
  <si>
    <t>8-21-4-3S-.5Zn</t>
  </si>
  <si>
    <t>9-18-4-6S-.5Zn</t>
  </si>
  <si>
    <t>9-20-2-7S-.5Zn</t>
  </si>
  <si>
    <t>18-30-0-7S</t>
  </si>
  <si>
    <t>10-30-0-3S</t>
  </si>
  <si>
    <t>28-0-0-5S</t>
  </si>
  <si>
    <t>lb/gal</t>
  </si>
  <si>
    <t>Proucts</t>
  </si>
  <si>
    <t>Gallons of Product</t>
  </si>
  <si>
    <t>lbs of N</t>
  </si>
  <si>
    <t>lbs of P</t>
  </si>
  <si>
    <t>lbs of K</t>
  </si>
  <si>
    <t>lbs of S</t>
  </si>
  <si>
    <t>lbs of Zn</t>
  </si>
  <si>
    <t>12-0-0-26S</t>
  </si>
  <si>
    <t>Table based off of per acre analysis</t>
  </si>
  <si>
    <t>Lbs of Product</t>
  </si>
  <si>
    <t>46-0-0</t>
  </si>
  <si>
    <t>18-46-0</t>
  </si>
  <si>
    <t>11-52-0</t>
  </si>
  <si>
    <t>21-0-0-24S</t>
  </si>
  <si>
    <t>0-0-60</t>
  </si>
  <si>
    <t>Lbs of Nutrient = lbs of product * % nutrient of product</t>
  </si>
  <si>
    <t>Actual Analysis</t>
  </si>
  <si>
    <t>Products</t>
  </si>
  <si>
    <t>Gallons</t>
  </si>
  <si>
    <t>Total Gal</t>
  </si>
  <si>
    <t>Lbs of Nutrient = gallons * density * %nutrient</t>
  </si>
  <si>
    <t>Urea</t>
  </si>
  <si>
    <t>Uan 32%</t>
  </si>
  <si>
    <t>K32 Potassium Carbonate</t>
  </si>
  <si>
    <t>Potash</t>
  </si>
  <si>
    <t>DAP</t>
  </si>
  <si>
    <t>MAP</t>
  </si>
  <si>
    <t>Ammonium Sulfate</t>
  </si>
  <si>
    <t>Ammonium Polyphosphate</t>
  </si>
  <si>
    <t>Ammonium Thiosulfate</t>
  </si>
  <si>
    <t>Boron 15%</t>
  </si>
  <si>
    <t>Zinc Sulfate</t>
  </si>
  <si>
    <t>B</t>
  </si>
  <si>
    <t>Product Rate</t>
  </si>
  <si>
    <t>% of Blend</t>
  </si>
  <si>
    <t>Mix per Ton</t>
  </si>
  <si>
    <t xml:space="preserve">Zn </t>
  </si>
  <si>
    <t>Mg</t>
  </si>
  <si>
    <t>Total</t>
  </si>
  <si>
    <t>=Input Cell</t>
  </si>
  <si>
    <t>Grower</t>
  </si>
  <si>
    <t>Year</t>
  </si>
  <si>
    <t>Application</t>
  </si>
  <si>
    <t>Joe Farmer</t>
  </si>
  <si>
    <t>Hay</t>
  </si>
  <si>
    <t>Spring Topdress</t>
  </si>
  <si>
    <t>Nulex Zinc 20%</t>
  </si>
  <si>
    <t>Liquid Boron 10%</t>
  </si>
  <si>
    <t>Total Lbs</t>
  </si>
  <si>
    <t>Final Analysis</t>
  </si>
  <si>
    <t>8-21-3-2.38S-.77Zn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</si>
</sst>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6" applyNumberFormat="0" applyAlignment="0" applyProtection="0"/>
    <xf numFmtId="9" fontId="18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/>
    <xf numFmtId="0" fontId="0" fillId="6" borderId="2" xfId="0" applyFill="1" applyBorder="1"/>
    <xf numFmtId="0" fontId="0" fillId="6" borderId="3" xfId="0" applyFill="1" applyBorder="1"/>
    <xf numFmtId="49" fontId="0" fillId="0" borderId="2" xfId="0" applyNumberFormat="1" applyBorder="1"/>
    <xf numFmtId="49" fontId="0" fillId="6" borderId="2" xfId="0" applyNumberFormat="1" applyFill="1" applyBorder="1"/>
    <xf numFmtId="164" fontId="0" fillId="0" borderId="0" xfId="0" applyNumberFormat="1"/>
    <xf numFmtId="164" fontId="0" fillId="6" borderId="3" xfId="0" applyNumberFormat="1" applyFill="1" applyBorder="1"/>
    <xf numFmtId="164" fontId="0" fillId="0" borderId="3" xfId="0" applyNumberFormat="1" applyBorder="1"/>
    <xf numFmtId="2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/>
    <xf numFmtId="165" fontId="4" fillId="0" borderId="0" xfId="0" applyNumberFormat="1" applyFont="1"/>
    <xf numFmtId="49" fontId="4" fillId="0" borderId="2" xfId="0" applyNumberFormat="1" applyFont="1" applyBorder="1"/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2" borderId="1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1" applyFont="1" applyFill="1" applyAlignment="1">
      <alignment horizontal="center"/>
    </xf>
    <xf numFmtId="49" fontId="0" fillId="0" borderId="3" xfId="0" applyNumberFormat="1" applyBorder="1"/>
    <xf numFmtId="49" fontId="0" fillId="6" borderId="3" xfId="0" applyNumberFormat="1" applyFill="1" applyBorder="1"/>
    <xf numFmtId="0" fontId="2" fillId="5" borderId="4" xfId="0" applyFont="1" applyFill="1" applyBorder="1"/>
    <xf numFmtId="49" fontId="0" fillId="6" borderId="5" xfId="0" applyNumberFormat="1" applyFill="1" applyBorder="1"/>
    <xf numFmtId="164" fontId="0" fillId="6" borderId="5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14" fillId="7" borderId="1" xfId="2" quotePrefix="1" applyNumberForma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0" fillId="0" borderId="8" xfId="0" applyNumberFormat="1" applyBorder="1"/>
    <xf numFmtId="164" fontId="0" fillId="6" borderId="4" xfId="0" applyNumberFormat="1" applyFill="1" applyBorder="1"/>
    <xf numFmtId="166" fontId="0" fillId="0" borderId="0" xfId="4" applyNumberFormat="1" applyFont="1"/>
    <xf numFmtId="166" fontId="0" fillId="0" borderId="0" xfId="0" applyNumberFormat="1"/>
    <xf numFmtId="0" fontId="15" fillId="8" borderId="6" xfId="3"/>
    <xf numFmtId="2" fontId="0" fillId="0" borderId="0" xfId="0" applyNumberFormat="1" applyAlignment="1">
      <alignment horizontal="center"/>
    </xf>
    <xf numFmtId="0" fontId="19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8" borderId="6" xfId="3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8" borderId="6" xfId="3" applyAlignment="1" applyProtection="1">
      <alignment horizontal="center"/>
      <protection locked="0"/>
    </xf>
    <xf numFmtId="0" fontId="2" fillId="5" borderId="11" xfId="0" applyFont="1" applyFill="1" applyBorder="1" applyAlignment="1">
      <alignment horizontal="center"/>
    </xf>
    <xf numFmtId="165" fontId="0" fillId="6" borderId="11" xfId="0" applyNumberFormat="1" applyFill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0" fillId="10" borderId="10" xfId="0" applyFill="1" applyBorder="1" applyAlignment="1" applyProtection="1">
      <alignment horizontal="center" wrapText="1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8" fillId="10" borderId="1" xfId="0" applyFont="1" applyFill="1" applyBorder="1" applyAlignment="1" applyProtection="1">
      <alignment horizontal="center"/>
      <protection locked="0"/>
    </xf>
    <xf numFmtId="165" fontId="0" fillId="0" borderId="12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5" fillId="11" borderId="7" xfId="0" applyFont="1" applyFill="1" applyBorder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165" fontId="0" fillId="0" borderId="13" xfId="0" applyNumberFormat="1" applyBorder="1" applyAlignment="1">
      <alignment horizontal="center"/>
    </xf>
    <xf numFmtId="0" fontId="20" fillId="10" borderId="1" xfId="1" applyFont="1" applyFill="1" applyBorder="1" applyAlignment="1" applyProtection="1">
      <alignment horizontal="center"/>
      <protection locked="0"/>
    </xf>
    <xf numFmtId="165" fontId="20" fillId="9" borderId="10" xfId="0" applyNumberFormat="1" applyFont="1" applyFill="1" applyBorder="1" applyAlignment="1">
      <alignment horizontal="center"/>
    </xf>
    <xf numFmtId="2" fontId="20" fillId="9" borderId="10" xfId="0" applyNumberFormat="1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</cellXfs>
  <cellStyles count="5">
    <cellStyle name="Bad" xfId="1" builtinId="27"/>
    <cellStyle name="Good" xfId="2" builtinId="26"/>
    <cellStyle name="Input" xfId="3" builtinId="20"/>
    <cellStyle name="Normal" xfId="0" builtinId="0"/>
    <cellStyle name="Percent" xfId="4" builtinId="5"/>
  </cellStyles>
  <dxfs count="78"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0.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0.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0.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0.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0.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0.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2" formatCode="0.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30" formatCode="@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5" formatCode="0.0"/>
    </dxf>
    <dxf>
      <numFmt numFmtId="166" formatCode="0.0%"/>
    </dxf>
    <dxf>
      <numFmt numFmtId="165" formatCode="0.0"/>
    </dxf>
    <dxf>
      <protection locked="1" hidden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5" formatCode="0.0"/>
    </dxf>
    <dxf>
      <numFmt numFmtId="166" formatCode="0.0%"/>
    </dxf>
    <dxf>
      <numFmt numFmtId="2" formatCode="0.0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numFmt numFmtId="165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206653-9044-4079-851C-637F736D657A}" name="LiqAnalysis" displayName="LiqAnalysis" ref="B13:K20" totalsRowCount="1" headerRowDxfId="77" dataDxfId="76">
  <autoFilter ref="B13:K19" xr:uid="{52CB3015-ABDD-4331-887A-B79C454D7B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1A8FA7B-2EB5-4A84-818D-40385CFFE9AA}" name="Products" totalsRowLabel="Total Gal" dataDxfId="75" totalsRowDxfId="9"/>
    <tableColumn id="2" xr3:uid="{579CC17B-A005-42EF-8AE4-B48455F0A067}" name="Gallons" totalsRowFunction="custom" dataDxfId="74" totalsRowDxfId="8" dataCellStyle="Input">
      <totalsRowFormula>SUM(LiqAnalysis[Gallons])</totalsRowFormula>
    </tableColumn>
    <tableColumn id="3" xr3:uid="{8CC984D4-4584-49CF-86ED-C97877669D3A}" name="N" dataDxfId="73" totalsRowDxfId="7">
      <calculatedColumnFormula>IFERROR((C14*(VLOOKUP(B14,LiqDen[],2,FALSE))*(VLOOKUP(B14,LiqDen[],8,FALSE))),0)</calculatedColumnFormula>
    </tableColumn>
    <tableColumn id="4" xr3:uid="{D358FD56-2A10-4110-964B-7A3C20C27273}" name="P" dataDxfId="72" totalsRowDxfId="6">
      <calculatedColumnFormula>IFERROR((C14*(VLOOKUP(B14,LiqDen[],3,FALSE))*(VLOOKUP(B14,LiqDen[],8,FALSE))),0)</calculatedColumnFormula>
    </tableColumn>
    <tableColumn id="5" xr3:uid="{B807AD1E-981E-4989-83CE-C816C95E97AD}" name="K" dataDxfId="71" totalsRowDxfId="5">
      <calculatedColumnFormula>IFERROR((C14*(VLOOKUP(B14,LiqDen[],4,FALSE))*(VLOOKUP(B14,LiqDen[],8,FALSE))),0)</calculatedColumnFormula>
    </tableColumn>
    <tableColumn id="6" xr3:uid="{61BED473-28FB-4ACF-A3A5-22CC409CB61A}" name="S" dataDxfId="70" totalsRowDxfId="4">
      <calculatedColumnFormula>IFERROR((C14*(VLOOKUP(B14,LiqDen[],5,FALSE))*(VLOOKUP(B14,LiqDen[],8,FALSE))),0)</calculatedColumnFormula>
    </tableColumn>
    <tableColumn id="8" xr3:uid="{1B800553-BF05-4A04-93C4-5C24F570C401}" name="Zn" dataDxfId="69" totalsRowDxfId="3">
      <calculatedColumnFormula>IFERROR((C14*(VLOOKUP(B14,LiqDen[],6,FALSE))*(VLOOKUP(B14,LiqDen[],8,FALSE))),0)</calculatedColumnFormula>
    </tableColumn>
    <tableColumn id="7" xr3:uid="{0EE82429-CE16-4FD0-80AB-3DFAD5C502B3}" name="B" dataDxfId="68" totalsRowDxfId="2">
      <calculatedColumnFormula>IFERROR((C14*(VLOOKUP(B14,LiqDen[],7,FALSE))*(VLOOKUP(B14,LiqDen[],8,FALSE))),0)</calculatedColumnFormula>
    </tableColumn>
    <tableColumn id="9" xr3:uid="{F89624BF-CF3B-4547-BD26-C1C5C97C6200}" name="Total Lbs" totalsRowFunction="custom" dataDxfId="67" totalsRowDxfId="1">
      <calculatedColumnFormula>IFERROR(C14*(VLOOKUP(B14,LiqDen[],8,FALSE)),0)</calculatedColumnFormula>
      <totalsRowFormula>SUM(J14:J19)</totalsRowFormula>
    </tableColumn>
    <tableColumn id="10" xr3:uid="{0449835E-7044-446F-A8F9-6EF1C84F485A}" name="Density" dataDxfId="66" totalsRowDxfId="0">
      <calculatedColumnFormula>IFERROR(_xlfn.XLOOKUP(LiqAnalysis[[#This Row],[Products]],LiqDen[Product],LiqDen[lb/gal]),0)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4C5706-D308-487D-81D7-1D4CEA047F1C}" name="Table6" displayName="Table6" ref="B7:L15" totalsRowShown="0">
  <autoFilter ref="B7:L15" xr:uid="{C54C5706-D308-487D-81D7-1D4CEA047F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62118C4-9113-4DC0-BC9C-FB7F23A6EE04}" name="Product"/>
    <tableColumn id="2" xr3:uid="{2E7904D6-9E98-4DAF-9370-989C6D098B92}" name="Product Rate" dataCellStyle="Input"/>
    <tableColumn id="3" xr3:uid="{FD33F2B3-2FC5-4FE6-B5F0-A701AC9AF956}" name="% of Blend" dataDxfId="65" dataCellStyle="Percent">
      <calculatedColumnFormula>Table6[[#This Row],[Product Rate]]/$C$16</calculatedColumnFormula>
    </tableColumn>
    <tableColumn id="4" xr3:uid="{837A1736-00DD-486D-AFF8-752C197E2943}" name="Mix per Ton" dataDxfId="64">
      <calculatedColumnFormula>2000*Table6[[#This Row],[% of Blend]]</calculatedColumnFormula>
    </tableColumn>
    <tableColumn id="5" xr3:uid="{94A8C53F-D7EE-4B04-80EB-CD45C4282048}" name="N" dataDxfId="63">
      <calculatedColumnFormula>IFERROR((_xlfn.XLOOKUP(Table6[[#This Row],[Product]],DryDen[Product],DryDen[N],""))*Table6[[#This Row],[Product Rate]],"")</calculatedColumnFormula>
    </tableColumn>
    <tableColumn id="6" xr3:uid="{3B814021-53EB-40D1-B763-B605415C13E5}" name="P" dataDxfId="62">
      <calculatedColumnFormula>IFERROR((_xlfn.XLOOKUP(Table6[[#This Row],[Product]],DryDen[Product],DryDen[P],""))*Table6[[#This Row],[Product Rate]],"")</calculatedColumnFormula>
    </tableColumn>
    <tableColumn id="7" xr3:uid="{DE0C2DCD-6513-4AA7-8240-40336622076A}" name="K" dataDxfId="61">
      <calculatedColumnFormula>IFERROR((_xlfn.XLOOKUP(Table6[[#This Row],[Product]],DryDen[Product],DryDen[K],""))*Table6[[#This Row],[Product Rate]],"")</calculatedColumnFormula>
    </tableColumn>
    <tableColumn id="8" xr3:uid="{7D71F582-B114-4AF6-9B88-5B2FA9A499B2}" name="S" dataDxfId="60">
      <calculatedColumnFormula>IFERROR((_xlfn.XLOOKUP(Table6[[#This Row],[Product]],DryDen[Product],DryDen[S],""))*Table6[[#This Row],[Product Rate]],"")</calculatedColumnFormula>
    </tableColumn>
    <tableColumn id="9" xr3:uid="{02112BE2-B9E8-47D1-ADDA-B97353FCA809}" name="B" dataDxfId="59">
      <calculatedColumnFormula>IFERROR((_xlfn.XLOOKUP(Table6[[#This Row],[Product]],DryDen[Product],DryDen[B],""))*Table6[[#This Row],[Product Rate]],"")</calculatedColumnFormula>
    </tableColumn>
    <tableColumn id="10" xr3:uid="{58EC8C4E-4A81-47F4-AFC2-A6B18B1EE0DF}" name="Zn " dataDxfId="58">
      <calculatedColumnFormula>IFERROR((_xlfn.XLOOKUP(Table6[[#This Row],[Product]],DryDen[Product],DryDen[Zn],""))*Table6[[#This Row],[Product Rate]],"")</calculatedColumnFormula>
    </tableColumn>
    <tableColumn id="11" xr3:uid="{5477D18B-61B0-499B-95B0-E97E872944E6}" name="Mg" dataDxfId="57">
      <calculatedColumnFormula>IFERROR((_xlfn.XLOOKUP(Table6[[#This Row],[Product]],DryDen[Product],DryDen[Mg],""))*Table6[[#This Row],[Product Rate]],"")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06E877-518C-47D0-9406-3BAB7B165849}" name="Table68" displayName="Table68" ref="B21:L29" totalsRowShown="0">
  <tableColumns count="11">
    <tableColumn id="1" xr3:uid="{F2DE3A30-FA43-4D9E-BE47-F022074B6EAB}" name="Product" dataDxfId="56"/>
    <tableColumn id="2" xr3:uid="{66C86384-55E4-4AB8-AA88-EEABDD7CA9E8}" name="Product Rate" dataDxfId="55">
      <calculatedColumnFormula>$C$30*Table68[[#This Row],[% of Blend]]</calculatedColumnFormula>
    </tableColumn>
    <tableColumn id="3" xr3:uid="{1FB5E85E-F77F-470D-ABC2-7AA49BDE2C83}" name="% of Blend" dataDxfId="54" dataCellStyle="Percent">
      <calculatedColumnFormula>D8</calculatedColumnFormula>
    </tableColumn>
    <tableColumn id="4" xr3:uid="{3A1BD9BA-790D-4AE6-8565-4360AFCCD53C}" name="Mix per Ton" dataDxfId="53">
      <calculatedColumnFormula>2000*Table68[[#This Row],[% of Blend]]</calculatedColumnFormula>
    </tableColumn>
    <tableColumn id="5" xr3:uid="{705106E5-1E46-47D2-9FB9-E7B5130C12C2}" name="N" dataDxfId="52">
      <calculatedColumnFormula>IFERROR((_xlfn.XLOOKUP(Table68[[#This Row],[Product]],DryDen[Product],DryDen[N],""))*Table68[[#This Row],[Product Rate]],"")</calculatedColumnFormula>
    </tableColumn>
    <tableColumn id="6" xr3:uid="{141F0DE5-E713-4003-B766-16A8783B279D}" name="P" dataDxfId="51">
      <calculatedColumnFormula>IFERROR((_xlfn.XLOOKUP(Table68[[#This Row],[Product]],DryDen[Product],DryDen[P],""))*Table68[[#This Row],[Product Rate]],"")</calculatedColumnFormula>
    </tableColumn>
    <tableColumn id="7" xr3:uid="{E55A7564-A38F-49AE-BD29-0535E35F4939}" name="K" dataDxfId="50">
      <calculatedColumnFormula>IFERROR((_xlfn.XLOOKUP(Table68[[#This Row],[Product]],DryDen[Product],DryDen[K],""))*Table68[[#This Row],[Product Rate]],"")</calculatedColumnFormula>
    </tableColumn>
    <tableColumn id="8" xr3:uid="{BFA860B5-067D-4A84-B689-AA576E247B53}" name="S" dataDxfId="49">
      <calculatedColumnFormula>IFERROR((_xlfn.XLOOKUP(Table68[[#This Row],[Product]],DryDen[Product],DryDen[S],""))*Table68[[#This Row],[Product Rate]],"")</calculatedColumnFormula>
    </tableColumn>
    <tableColumn id="9" xr3:uid="{F4A6B33F-E9AF-4B32-AA0A-9DDF346B7E6E}" name="B" dataDxfId="48">
      <calculatedColumnFormula>IFERROR((_xlfn.XLOOKUP(Table68[[#This Row],[Product]],DryDen[Product],DryDen[B],""))*Table68[[#This Row],[Product Rate]],"")</calculatedColumnFormula>
    </tableColumn>
    <tableColumn id="10" xr3:uid="{71DA1968-7757-4B97-BC6B-15CC454F8495}" name="Zn " dataDxfId="47">
      <calculatedColumnFormula>IFERROR((_xlfn.XLOOKUP(Table68[[#This Row],[Product]],DryDen[Product],DryDen[Zn],""))*Table68[[#This Row],[Product Rate]],"")</calculatedColumnFormula>
    </tableColumn>
    <tableColumn id="11" xr3:uid="{D954B0A8-8F8E-4767-9086-1CF48918BE9D}" name="Mg" dataDxfId="46">
      <calculatedColumnFormula>IFERROR((_xlfn.XLOOKUP(Table68[[#This Row],[Product]],DryDen[Product],DryDen[Mg],""))*Table68[[#This Row],[Product Rate]],"")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6A0BAE-E613-4663-A4CD-DF7E5E048FF6}" name="LiqDen" displayName="LiqDen" ref="A2:H24" totalsRowShown="0">
  <autoFilter ref="A2:H24" xr:uid="{050AC59D-5437-4CAA-92D9-6F94AC7DD7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73B7ADF-7F9A-4112-AE2B-150DF618678C}" name="Product" dataDxfId="45"/>
    <tableColumn id="2" xr3:uid="{591A5E8A-B482-4073-976A-6198FA275A39}" name="N" dataDxfId="44"/>
    <tableColumn id="3" xr3:uid="{4DB71FC7-53BD-4808-8D4B-53C997E0D0AE}" name="P" dataDxfId="43"/>
    <tableColumn id="4" xr3:uid="{861607A6-4A26-458B-A3A9-4C0C348D8C5B}" name="K" dataDxfId="42"/>
    <tableColumn id="5" xr3:uid="{29FBAC45-683D-439F-A338-45273B35B20E}" name="S" dataDxfId="41"/>
    <tableColumn id="6" xr3:uid="{D24D7CD2-A09F-449F-9C0C-4CD826536943}" name="Zn" dataDxfId="40"/>
    <tableColumn id="8" xr3:uid="{CF9C79F4-DE14-476F-AB78-0471D452E45F}" name="B" dataDxfId="39"/>
    <tableColumn id="7" xr3:uid="{53D4067A-83B5-4BAB-BA11-D312959ACDB1}" name="lb/gal" dataDxfId="38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42F82D-ED8E-4DF4-A4B7-24CBD84082F7}" name="DryDen" displayName="DryDen" ref="A27:H34" totalsRowShown="0" headerRowDxfId="37" dataDxfId="35" headerRowBorderDxfId="36" tableBorderDxfId="34" totalsRowBorderDxfId="33">
  <autoFilter ref="A27:H34" xr:uid="{C8D678F3-53A6-426C-9EA0-6411718358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DF9478F-000E-4219-8C1A-618B39AA177E}" name="Product"/>
    <tableColumn id="2" xr3:uid="{8EB65D7D-AD51-4E6E-AE5C-3F47A7E7E5FC}" name="N" dataDxfId="32"/>
    <tableColumn id="3" xr3:uid="{054121E4-2B31-4AE3-9749-15121B999D71}" name="P" dataDxfId="31"/>
    <tableColumn id="4" xr3:uid="{A595AF83-63E8-4DBA-8AA8-0F4B98941971}" name="K" dataDxfId="30"/>
    <tableColumn id="5" xr3:uid="{AFDE9E35-FD2C-4A12-8C8A-7FBF087D7072}" name="S" dataDxfId="29"/>
    <tableColumn id="6" xr3:uid="{414FF55D-1308-4425-B7C9-D0381905C840}" name="Zn" dataDxfId="28"/>
    <tableColumn id="7" xr3:uid="{287F898A-B201-4BD9-A7ED-A49B6E03784D}" name="B" dataDxfId="27"/>
    <tableColumn id="8" xr3:uid="{AE438547-FFE6-447D-BB17-28403BEABB3C}" name="Mg" dataDxfId="2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1C178F-1AAA-4A54-A9E1-3F62AAB43213}" name="LiqFert" displayName="LiqFert" ref="B13:G31" totalsRowShown="0" headerRowDxfId="25" dataDxfId="24">
  <autoFilter ref="B13:G31" xr:uid="{FCDDC519-4E00-4B55-9B72-61952C838F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CC0457A-0B05-4FF0-85D0-90FB5F5F2433}" name="Products" dataDxfId="23"/>
    <tableColumn id="2" xr3:uid="{1E5F9DC7-758C-468C-9C51-5C08786E6E94}" name="lbs of N" dataDxfId="22">
      <calculatedColumnFormula>IFERROR((VLOOKUP('Liquid Fertilizers'!B14,LiqDen[],2,FALSE))*$F$9*(VLOOKUP(B14,LiqDen[],7,FALSE)),0)</calculatedColumnFormula>
    </tableColumn>
    <tableColumn id="3" xr3:uid="{A3414467-D137-4281-8753-A7A292180275}" name="lbs of P" dataDxfId="21">
      <calculatedColumnFormula>IFERROR((VLOOKUP('Liquid Fertilizers'!B14,LiqDen[],3,FALSE))*$F$9*(VLOOKUP(B14,LiqDen[],7,FALSE)),0)</calculatedColumnFormula>
    </tableColumn>
    <tableColumn id="4" xr3:uid="{7CC7CA23-FD78-4452-8880-875A57892360}" name="lbs of K" dataDxfId="20">
      <calculatedColumnFormula>IFERROR((VLOOKUP('Liquid Fertilizers'!B14,LiqDen[],4,FALSE))*$F$9*(VLOOKUP(B14,LiqDen[],7,FALSE)),0)</calculatedColumnFormula>
    </tableColumn>
    <tableColumn id="5" xr3:uid="{3E97014A-6766-4187-B2DA-21A7710CA5C3}" name="lbs of S" dataDxfId="19">
      <calculatedColumnFormula>IFERROR((VLOOKUP('Liquid Fertilizers'!B14,LiqDen[],5,FALSE))*$F$9*(VLOOKUP(B14,LiqDen[],7,FALSE)),0)</calculatedColumnFormula>
    </tableColumn>
    <tableColumn id="6" xr3:uid="{407B0F7A-8BF7-421E-AADA-267E31215E4D}" name="lbs of Zn" dataDxfId="18">
      <calculatedColumnFormula>IFERROR((VLOOKUP('Liquid Fertilizers'!B14,LiqDen[],6,FALSE))*$F$9*(VLOOKUP(B14,LiqDen[],7,FALSE)),0)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506C43-3C01-434D-8C85-EFE99C60105C}" name="DryFert" displayName="DryFert" ref="B13:G18" totalsRowShown="0" headerRowDxfId="17" dataDxfId="16">
  <autoFilter ref="B13:G18" xr:uid="{0E615740-DA5A-4EF7-9D3F-4DFA1428C9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895B3D3-50DF-44A7-86C6-63C6842D58B2}" name="Proucts" dataDxfId="15"/>
    <tableColumn id="2" xr3:uid="{E2408322-149A-44A8-90E9-D25DF1728BDA}" name="lbs of N" dataDxfId="14">
      <calculatedColumnFormula>IFERROR((VLOOKUP(DryFert[[#This Row],[Proucts]],DryDen[],2,FALSE))*$F$9,0)</calculatedColumnFormula>
    </tableColumn>
    <tableColumn id="3" xr3:uid="{757FC22B-2E45-4609-A8EA-0B9B710BC0D3}" name="lbs of P" dataDxfId="13">
      <calculatedColumnFormula>IFERROR((VLOOKUP(DryFert[[#This Row],[Proucts]],DryDen[],3,FALSE))*$F$9,0)</calculatedColumnFormula>
    </tableColumn>
    <tableColumn id="4" xr3:uid="{7DD13F74-BAF0-4328-8CA8-942157626C86}" name="lbs of K" dataDxfId="12">
      <calculatedColumnFormula>IFERROR((VLOOKUP(DryFert[[#This Row],[Proucts]],DryDen[],4,FALSE))*$F$9,0)</calculatedColumnFormula>
    </tableColumn>
    <tableColumn id="5" xr3:uid="{BEE81E9B-D9AB-4A32-89B8-F55BAC7F559A}" name="lbs of S" dataDxfId="11">
      <calculatedColumnFormula>IFERROR((VLOOKUP(DryFert[[#This Row],[Proucts]],DryDen[],5,FALSE))*$F$9,0)</calculatedColumnFormula>
    </tableColumn>
    <tableColumn id="6" xr3:uid="{8166B0CA-F04D-47D4-9C41-D9920B7AC61B}" name="lbs of Zn" dataDxfId="10">
      <calculatedColumnFormula>IFERROR((VLOOKUP(DryFert[[#This Row],[Proucts]],DryDen[],6,FALSE))*$F$9,0)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33D95-2499-401D-A60F-A6C0EDD611BA}">
  <sheetPr>
    <tabColor rgb="FFFF0000"/>
  </sheetPr>
  <dimension ref="B1:K25"/>
  <sheetViews>
    <sheetView tabSelected="1" topLeftCell="A5" workbookViewId="0">
      <selection activeCell="C16" sqref="C16"/>
    </sheetView>
  </sheetViews>
  <sheetFormatPr defaultRowHeight="14.4" x14ac:dyDescent="0.3"/>
  <cols>
    <col min="1" max="1" width="7.44140625" customWidth="1"/>
    <col min="2" max="2" width="18.109375" customWidth="1"/>
    <col min="3" max="3" width="9.88671875" customWidth="1"/>
    <col min="5" max="5" width="12" customWidth="1"/>
    <col min="8" max="8" width="10" customWidth="1"/>
  </cols>
  <sheetData>
    <row r="1" spans="2:11" ht="15" thickBot="1" x14ac:dyDescent="0.35"/>
    <row r="2" spans="2:11" ht="15" thickBot="1" x14ac:dyDescent="0.35">
      <c r="B2" s="45" t="s">
        <v>76</v>
      </c>
      <c r="C2" s="45" t="s">
        <v>77</v>
      </c>
      <c r="D2" s="45" t="s">
        <v>2</v>
      </c>
      <c r="E2" s="45" t="s">
        <v>78</v>
      </c>
      <c r="G2" s="43"/>
      <c r="H2" s="3" t="s">
        <v>75</v>
      </c>
    </row>
    <row r="3" spans="2:11" ht="29.4" thickTop="1" x14ac:dyDescent="0.3">
      <c r="B3" s="58" t="s">
        <v>79</v>
      </c>
      <c r="C3" s="58">
        <v>2024</v>
      </c>
      <c r="D3" s="58" t="s">
        <v>80</v>
      </c>
      <c r="E3" s="58" t="s">
        <v>81</v>
      </c>
    </row>
    <row r="5" spans="2:11" ht="15.6" x14ac:dyDescent="0.3">
      <c r="B5" s="12"/>
      <c r="C5" s="12"/>
      <c r="D5" s="71" t="s">
        <v>7</v>
      </c>
      <c r="E5" s="71"/>
      <c r="F5" s="71" t="s">
        <v>9</v>
      </c>
      <c r="G5" s="71"/>
      <c r="H5" s="46"/>
    </row>
    <row r="6" spans="2:11" ht="15.6" x14ac:dyDescent="0.3">
      <c r="B6" s="17" t="s">
        <v>0</v>
      </c>
      <c r="C6" s="17" t="s">
        <v>2</v>
      </c>
      <c r="D6" s="17" t="s">
        <v>3</v>
      </c>
      <c r="E6" s="17" t="s">
        <v>4</v>
      </c>
      <c r="F6" s="17" t="s">
        <v>6</v>
      </c>
      <c r="G6" s="17" t="s">
        <v>5</v>
      </c>
      <c r="H6" s="46"/>
    </row>
    <row r="7" spans="2:11" ht="15.6" x14ac:dyDescent="0.3">
      <c r="B7" s="59">
        <v>225</v>
      </c>
      <c r="C7" s="19" t="s">
        <v>1</v>
      </c>
      <c r="D7" s="51">
        <v>0.35</v>
      </c>
      <c r="E7" s="51">
        <v>0.25</v>
      </c>
      <c r="F7" s="20">
        <f>B7*D7</f>
        <v>78.75</v>
      </c>
      <c r="G7" s="20">
        <f>B7*E7</f>
        <v>56.25</v>
      </c>
      <c r="H7" s="47"/>
    </row>
    <row r="8" spans="2:11" ht="15.6" x14ac:dyDescent="0.3">
      <c r="B8" s="60">
        <v>60</v>
      </c>
      <c r="C8" s="22" t="s">
        <v>8</v>
      </c>
      <c r="D8" s="52">
        <v>0.8</v>
      </c>
      <c r="E8" s="52">
        <v>1.2</v>
      </c>
      <c r="F8" s="23">
        <f>B8*D8</f>
        <v>48</v>
      </c>
      <c r="G8" s="23">
        <f>B8*E8</f>
        <v>72</v>
      </c>
      <c r="H8" s="48"/>
    </row>
    <row r="10" spans="2:11" x14ac:dyDescent="0.3">
      <c r="D10" s="38" t="s">
        <v>18</v>
      </c>
      <c r="E10" s="38" t="s">
        <v>3</v>
      </c>
      <c r="F10" s="38" t="s">
        <v>19</v>
      </c>
      <c r="G10" s="38" t="s">
        <v>20</v>
      </c>
      <c r="H10" s="38" t="s">
        <v>22</v>
      </c>
      <c r="I10" s="38" t="s">
        <v>68</v>
      </c>
    </row>
    <row r="11" spans="2:11" x14ac:dyDescent="0.3">
      <c r="B11" s="73" t="s">
        <v>10</v>
      </c>
      <c r="C11" s="73"/>
      <c r="D11" s="67">
        <v>18.600000000000001</v>
      </c>
      <c r="E11" s="67">
        <v>13.6</v>
      </c>
      <c r="F11" s="67">
        <v>0</v>
      </c>
      <c r="G11" s="67">
        <v>4.9000000000000004</v>
      </c>
      <c r="H11" s="67">
        <v>0.2</v>
      </c>
      <c r="I11" s="67">
        <v>0.2</v>
      </c>
    </row>
    <row r="13" spans="2:11" x14ac:dyDescent="0.3">
      <c r="B13" s="1" t="s">
        <v>53</v>
      </c>
      <c r="C13" s="1" t="s">
        <v>54</v>
      </c>
      <c r="D13" s="1" t="s">
        <v>18</v>
      </c>
      <c r="E13" s="1" t="s">
        <v>3</v>
      </c>
      <c r="F13" s="1" t="s">
        <v>19</v>
      </c>
      <c r="G13" s="1" t="s">
        <v>20</v>
      </c>
      <c r="H13" s="1" t="s">
        <v>22</v>
      </c>
      <c r="I13" s="1" t="s">
        <v>68</v>
      </c>
      <c r="J13" s="55" t="s">
        <v>84</v>
      </c>
      <c r="K13" s="55" t="s">
        <v>21</v>
      </c>
    </row>
    <row r="14" spans="2:11" x14ac:dyDescent="0.3">
      <c r="B14" s="53" t="s">
        <v>16</v>
      </c>
      <c r="C14" s="54">
        <v>15</v>
      </c>
      <c r="D14" s="35">
        <f>IFERROR(($C$14*(VLOOKUP($B$14,LiqDen[],2,FALSE))*(VLOOKUP($B$14,LiqDen[],8,FALSE))),0)</f>
        <v>53.088000000000001</v>
      </c>
      <c r="E14" s="35">
        <f>IFERROR((C14*(VLOOKUP(B14,LiqDen[],3,FALSE))*(VLOOKUP(B14,LiqDen[],8,FALSE))),0)</f>
        <v>0</v>
      </c>
      <c r="F14" s="35">
        <f>IFERROR((C14*(VLOOKUP(B14,LiqDen[],4,FALSE))*(VLOOKUP(B14,LiqDen[],8,FALSE))),0)</f>
        <v>0</v>
      </c>
      <c r="G14" s="35">
        <f>IFERROR((C14*(VLOOKUP(B14,LiqDen[],5,FALSE))*(VLOOKUP(B14,LiqDen[],8,FALSE))),0)</f>
        <v>0</v>
      </c>
      <c r="H14" s="35">
        <f>IFERROR((C14*(VLOOKUP(B14,LiqDen[],6,FALSE))*(VLOOKUP(B14,LiqDen[],8,FALSE))),0)</f>
        <v>0</v>
      </c>
      <c r="I14" s="35">
        <f>IFERROR((C14*(VLOOKUP(B14,LiqDen[],7,FALSE))*(VLOOKUP(B14,LiqDen[],8,FALSE))),0)</f>
        <v>0</v>
      </c>
      <c r="J14" s="56">
        <f>IFERROR(C14*(VLOOKUP(B14,LiqDen[],8,FALSE)),0)</f>
        <v>165.9</v>
      </c>
      <c r="K14" s="44">
        <f>IFERROR(_xlfn.XLOOKUP(LiqAnalysis[[#This Row],[Products]],LiqDen[Product],LiqDen[lb/gal]),0)</f>
        <v>11.06</v>
      </c>
    </row>
    <row r="15" spans="2:11" x14ac:dyDescent="0.3">
      <c r="B15" s="53" t="s">
        <v>15</v>
      </c>
      <c r="C15" s="54">
        <v>10</v>
      </c>
      <c r="D15" s="35">
        <f>IFERROR((C15*(VLOOKUP(B15,LiqDen[],2,FALSE))*(VLOOKUP(B15,LiqDen[],8,FALSE))),0)</f>
        <v>13.319999999999999</v>
      </c>
      <c r="E15" s="35">
        <f>IFERROR((C15*(VLOOKUP(B15,LiqDen[],3,FALSE))*(VLOOKUP(B15,LiqDen[],8,FALSE))),0)</f>
        <v>0</v>
      </c>
      <c r="F15" s="35">
        <f>IFERROR((C15*(VLOOKUP(B15,LiqDen[],4,FALSE))*(VLOOKUP(B15,LiqDen[],8,FALSE))),0)</f>
        <v>0</v>
      </c>
      <c r="G15" s="35">
        <f>IFERROR((C15*(VLOOKUP(B15,LiqDen[],5,FALSE))*(VLOOKUP(B15,LiqDen[],8,FALSE))),0)</f>
        <v>28.86</v>
      </c>
      <c r="H15" s="35">
        <f>IFERROR((C15*(VLOOKUP(B15,LiqDen[],6,FALSE))*(VLOOKUP(B15,LiqDen[],8,FALSE))),0)</f>
        <v>0</v>
      </c>
      <c r="I15" s="35">
        <f>IFERROR((C15*(VLOOKUP(B15,LiqDen[],7,FALSE))*(VLOOKUP(B15,LiqDen[],8,FALSE))),0)</f>
        <v>0</v>
      </c>
      <c r="J15" s="62">
        <f>IFERROR(C15*(VLOOKUP(B15,LiqDen[],8,FALSE)),0)</f>
        <v>111</v>
      </c>
      <c r="K15" s="44">
        <f>IFERROR(_xlfn.XLOOKUP(LiqAnalysis[[#This Row],[Products]],LiqDen[Product],LiqDen[lb/gal]),0)</f>
        <v>11.1</v>
      </c>
    </row>
    <row r="16" spans="2:11" x14ac:dyDescent="0.3">
      <c r="B16" s="53"/>
      <c r="C16" s="54"/>
      <c r="D16" s="35">
        <f>IFERROR((C16*(VLOOKUP(B16,LiqDen[],2,FALSE))*(VLOOKUP(B16,LiqDen[],8,FALSE))),0)</f>
        <v>0</v>
      </c>
      <c r="E16" s="35">
        <f>IFERROR((C16*(VLOOKUP(B16,LiqDen[],3,FALSE))*(VLOOKUP(B16,LiqDen[],8,FALSE))),0)</f>
        <v>0</v>
      </c>
      <c r="F16" s="35">
        <f>IFERROR((C16*(VLOOKUP(B16,LiqDen[],4,FALSE))*(VLOOKUP(B16,LiqDen[],8,FALSE))),0)</f>
        <v>0</v>
      </c>
      <c r="G16" s="35">
        <f>IFERROR((C16*(VLOOKUP(B16,LiqDen[],5,FALSE))*(VLOOKUP(B16,LiqDen[],8,FALSE))),0)</f>
        <v>0</v>
      </c>
      <c r="H16" s="35">
        <f>IFERROR((C16*(VLOOKUP(B16,LiqDen[],6,FALSE))*(VLOOKUP(B16,LiqDen[],8,FALSE))),0)</f>
        <v>0</v>
      </c>
      <c r="I16" s="35">
        <f>IFERROR((C16*(VLOOKUP(B16,LiqDen[],7,FALSE))*(VLOOKUP(B16,LiqDen[],8,FALSE))),0)</f>
        <v>0</v>
      </c>
      <c r="J16" s="56">
        <f>IFERROR(C16*(VLOOKUP(B16,LiqDen[],8,FALSE)),0)</f>
        <v>0</v>
      </c>
      <c r="K16" s="44">
        <f>IFERROR(_xlfn.XLOOKUP(LiqAnalysis[[#This Row],[Products]],LiqDen[Product],LiqDen[lb/gal]),0)</f>
        <v>0</v>
      </c>
    </row>
    <row r="17" spans="2:11" x14ac:dyDescent="0.3">
      <c r="B17" s="53"/>
      <c r="C17" s="54"/>
      <c r="D17" s="35">
        <f>IFERROR((C17*(VLOOKUP(B17,LiqDen[],2,FALSE))*(VLOOKUP(B17,LiqDen[],8,FALSE))),0)</f>
        <v>0</v>
      </c>
      <c r="E17" s="35">
        <f>IFERROR((C17*(VLOOKUP(B17,LiqDen[],3,FALSE))*(VLOOKUP(B17,LiqDen[],8,FALSE))),0)</f>
        <v>0</v>
      </c>
      <c r="F17" s="35">
        <f>IFERROR((C17*(VLOOKUP(B17,LiqDen[],4,FALSE))*(VLOOKUP(B17,LiqDen[],8,FALSE))),0)</f>
        <v>0</v>
      </c>
      <c r="G17" s="35">
        <f>IFERROR((C17*(VLOOKUP(B17,LiqDen[],5,FALSE))*(VLOOKUP(B17,LiqDen[],8,FALSE))),0)</f>
        <v>0</v>
      </c>
      <c r="H17" s="35">
        <f>IFERROR((C17*(VLOOKUP(B17,LiqDen[],6,FALSE))*(VLOOKUP(B17,LiqDen[],8,FALSE))),0)</f>
        <v>0</v>
      </c>
      <c r="I17" s="35">
        <f>IFERROR((C17*(VLOOKUP(B17,LiqDen[],7,FALSE))*(VLOOKUP(B17,LiqDen[],8,FALSE))),0)</f>
        <v>0</v>
      </c>
      <c r="J17" s="62">
        <f>IFERROR(C17*(VLOOKUP(B17,LiqDen[],8,FALSE)),0)</f>
        <v>0</v>
      </c>
      <c r="K17" s="44">
        <f>IFERROR(_xlfn.XLOOKUP(LiqAnalysis[[#This Row],[Products]],LiqDen[Product],LiqDen[lb/gal]),0)</f>
        <v>0</v>
      </c>
    </row>
    <row r="18" spans="2:11" x14ac:dyDescent="0.3">
      <c r="B18" s="53"/>
      <c r="C18" s="54"/>
      <c r="D18" s="35">
        <f>IFERROR((C18*(VLOOKUP(B18,LiqDen[],2,FALSE))*(VLOOKUP(B18,LiqDen[],8,FALSE))),0)</f>
        <v>0</v>
      </c>
      <c r="E18" s="35">
        <f>IFERROR((C18*(VLOOKUP(B18,LiqDen[],3,FALSE))*(VLOOKUP(B18,LiqDen[],8,FALSE))),0)</f>
        <v>0</v>
      </c>
      <c r="F18" s="35">
        <f>IFERROR((C18*(VLOOKUP(B18,LiqDen[],4,FALSE))*(VLOOKUP(B18,LiqDen[],8,FALSE))),0)</f>
        <v>0</v>
      </c>
      <c r="G18" s="35">
        <f>IFERROR((C18*(VLOOKUP(B18,LiqDen[],5,FALSE))*(VLOOKUP(B18,LiqDen[],8,FALSE))),0)</f>
        <v>0</v>
      </c>
      <c r="H18" s="35">
        <f>IFERROR((C18*(VLOOKUP(B18,LiqDen[],6,FALSE))*(VLOOKUP(B18,LiqDen[],8,FALSE))),0)</f>
        <v>0</v>
      </c>
      <c r="I18" s="35">
        <f>IFERROR((C18*(VLOOKUP(B18,LiqDen[],7,FALSE))*(VLOOKUP(B18,LiqDen[],8,FALSE))),0)</f>
        <v>0</v>
      </c>
      <c r="J18" s="56">
        <f>IFERROR(C18*(VLOOKUP(B18,LiqDen[],8,FALSE)),0)</f>
        <v>0</v>
      </c>
      <c r="K18" s="44">
        <f>IFERROR(_xlfn.XLOOKUP(LiqAnalysis[[#This Row],[Products]],LiqDen[Product],LiqDen[lb/gal]),0)</f>
        <v>0</v>
      </c>
    </row>
    <row r="19" spans="2:11" ht="15" thickBot="1" x14ac:dyDescent="0.35">
      <c r="B19" s="53"/>
      <c r="C19" s="54">
        <v>0</v>
      </c>
      <c r="D19" s="35">
        <f>IFERROR((C19*(VLOOKUP(B19,LiqDen[],2,FALSE))*(VLOOKUP(B19,LiqDen[],8,FALSE))),0)</f>
        <v>0</v>
      </c>
      <c r="E19" s="35">
        <f>IFERROR((C19*(VLOOKUP(B19,LiqDen[],3,FALSE))*(VLOOKUP(B19,LiqDen[],8,FALSE))),0)</f>
        <v>0</v>
      </c>
      <c r="F19" s="35">
        <f>IFERROR((C19*(VLOOKUP(B19,LiqDen[],4,FALSE))*(VLOOKUP(B19,LiqDen[],8,FALSE))),0)</f>
        <v>0</v>
      </c>
      <c r="G19" s="35">
        <f>IFERROR((C19*(VLOOKUP(B19,LiqDen[],5,FALSE))*(VLOOKUP(B19,LiqDen[],8,FALSE))),0)</f>
        <v>0</v>
      </c>
      <c r="H19" s="35">
        <f>IFERROR((C19*(VLOOKUP(B19,LiqDen[],6,FALSE))*(VLOOKUP(B19,LiqDen[],8,FALSE))),0)</f>
        <v>0</v>
      </c>
      <c r="I19" s="35">
        <f>IFERROR((C19*(VLOOKUP(B19,LiqDen[],7,FALSE))*(VLOOKUP(B19,LiqDen[],8,FALSE))),0)</f>
        <v>0</v>
      </c>
      <c r="J19" s="61">
        <f>IFERROR(C19*(VLOOKUP(B19,LiqDen[],8,FALSE)),0)</f>
        <v>0</v>
      </c>
      <c r="K19" s="44">
        <f>IFERROR(_xlfn.XLOOKUP(LiqAnalysis[[#This Row],[Products]],LiqDen[Product],LiqDen[lb/gal]),0)</f>
        <v>0</v>
      </c>
    </row>
    <row r="20" spans="2:11" ht="15" thickTop="1" x14ac:dyDescent="0.3">
      <c r="B20" s="1" t="s">
        <v>55</v>
      </c>
      <c r="C20" s="63">
        <f>SUM(LiqAnalysis[Gallons])</f>
        <v>25</v>
      </c>
      <c r="D20" s="64"/>
      <c r="E20" s="64"/>
      <c r="F20" s="64"/>
      <c r="G20" s="64"/>
      <c r="H20" s="64"/>
      <c r="I20" s="64"/>
      <c r="J20" s="65">
        <f>SUM(J14:J19)</f>
        <v>276.89999999999998</v>
      </c>
      <c r="K20" s="65"/>
    </row>
    <row r="21" spans="2:11" x14ac:dyDescent="0.3">
      <c r="D21" s="37" t="s">
        <v>18</v>
      </c>
      <c r="E21" s="37" t="s">
        <v>3</v>
      </c>
      <c r="F21" s="37" t="s">
        <v>19</v>
      </c>
      <c r="G21" s="37" t="s">
        <v>20</v>
      </c>
      <c r="H21" s="37" t="s">
        <v>22</v>
      </c>
      <c r="I21" s="37" t="s">
        <v>68</v>
      </c>
    </row>
    <row r="22" spans="2:11" x14ac:dyDescent="0.3">
      <c r="B22" s="72" t="s">
        <v>52</v>
      </c>
      <c r="C22" s="72"/>
      <c r="D22" s="36">
        <f t="shared" ref="D22:I22" si="0">SUM(D14:D19)</f>
        <v>66.408000000000001</v>
      </c>
      <c r="E22" s="36">
        <f t="shared" si="0"/>
        <v>0</v>
      </c>
      <c r="F22" s="36">
        <f t="shared" si="0"/>
        <v>0</v>
      </c>
      <c r="G22" s="36">
        <f t="shared" si="0"/>
        <v>28.86</v>
      </c>
      <c r="H22" s="36">
        <f t="shared" si="0"/>
        <v>0</v>
      </c>
      <c r="I22" s="36">
        <f t="shared" si="0"/>
        <v>0</v>
      </c>
    </row>
    <row r="24" spans="2:11" x14ac:dyDescent="0.3">
      <c r="C24" s="66"/>
      <c r="D24" s="38" t="s">
        <v>18</v>
      </c>
      <c r="E24" s="38" t="s">
        <v>3</v>
      </c>
      <c r="F24" s="38" t="s">
        <v>19</v>
      </c>
      <c r="G24" s="38" t="s">
        <v>20</v>
      </c>
      <c r="H24" s="38" t="s">
        <v>22</v>
      </c>
      <c r="I24" s="38" t="s">
        <v>68</v>
      </c>
      <c r="J24" s="70" t="s">
        <v>21</v>
      </c>
    </row>
    <row r="25" spans="2:11" ht="28.8" x14ac:dyDescent="0.3">
      <c r="C25" s="57" t="s">
        <v>85</v>
      </c>
      <c r="D25" s="68">
        <f>(100/J20)*D22</f>
        <v>23.982665222101843</v>
      </c>
      <c r="E25" s="68">
        <f>(100/$J20)*E22</f>
        <v>0</v>
      </c>
      <c r="F25" s="68">
        <f t="shared" ref="F25:H25" si="1">(100/$J20)*F22</f>
        <v>0</v>
      </c>
      <c r="G25" s="68">
        <f t="shared" si="1"/>
        <v>10.422535211267606</v>
      </c>
      <c r="H25" s="68">
        <f t="shared" si="1"/>
        <v>0</v>
      </c>
      <c r="I25" s="68">
        <f>(100/$J20)*I22</f>
        <v>0</v>
      </c>
      <c r="J25" s="69">
        <f>((C14/LiqAnalysis[[#Totals],[Gallons]])*K14)+((C15/LiqAnalysis[[#Totals],[Gallons]])*K15)+((C16/LiqAnalysis[[#Totals],[Gallons]])*K16)+((C17/LiqAnalysis[[#Totals],[Gallons]])*K17)+((C18/LiqAnalysis[[#Totals],[Gallons]])*K18)+((C19/LiqAnalysis[[#Totals],[Gallons]])*K19)</f>
        <v>11.076000000000001</v>
      </c>
    </row>
  </sheetData>
  <mergeCells count="4">
    <mergeCell ref="D5:E5"/>
    <mergeCell ref="F5:G5"/>
    <mergeCell ref="B22:C22"/>
    <mergeCell ref="B11:C11"/>
  </mergeCell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8DA1EC-ACEF-4B39-9178-D61A0ED50406}">
          <x14:formula1>
            <xm:f>'Input Data'!$A$3:$A$24</xm:f>
          </x14:formula1>
          <xm:sqref>B14:B19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7190-938F-4F75-AA6F-149B20844A85}">
  <dimension ref="B1:L30"/>
  <sheetViews>
    <sheetView workbookViewId="0">
      <selection activeCell="B8" sqref="B8"/>
    </sheetView>
  </sheetViews>
  <sheetFormatPr defaultRowHeight="14.4" x14ac:dyDescent="0.3"/>
  <cols>
    <col min="2" max="2" width="11" bestFit="1" customWidth="1"/>
    <col min="3" max="3" width="13.77734375" customWidth="1"/>
    <col min="4" max="4" width="11.77734375" customWidth="1"/>
    <col min="5" max="5" width="12.88671875" customWidth="1"/>
    <col min="8" max="8" width="9.77734375" customWidth="1"/>
  </cols>
  <sheetData>
    <row r="1" spans="2:12" ht="15" thickBot="1" x14ac:dyDescent="0.35"/>
    <row r="2" spans="2:12" ht="15" thickBot="1" x14ac:dyDescent="0.35">
      <c r="B2" s="45" t="s">
        <v>76</v>
      </c>
      <c r="C2" s="45" t="s">
        <v>77</v>
      </c>
      <c r="D2" s="45" t="s">
        <v>2</v>
      </c>
      <c r="E2" s="45" t="s">
        <v>78</v>
      </c>
      <c r="G2" s="43"/>
      <c r="H2" s="3" t="s">
        <v>75</v>
      </c>
    </row>
    <row r="3" spans="2:12" ht="29.4" thickTop="1" x14ac:dyDescent="0.3">
      <c r="B3" s="58" t="s">
        <v>79</v>
      </c>
      <c r="C3" s="58">
        <v>2024</v>
      </c>
      <c r="D3" s="58" t="s">
        <v>80</v>
      </c>
      <c r="E3" s="58" t="s">
        <v>81</v>
      </c>
    </row>
    <row r="7" spans="2:12" x14ac:dyDescent="0.3">
      <c r="B7" t="s">
        <v>11</v>
      </c>
      <c r="C7" t="s">
        <v>69</v>
      </c>
      <c r="D7" t="s">
        <v>70</v>
      </c>
      <c r="E7" t="s">
        <v>71</v>
      </c>
      <c r="F7" s="1" t="s">
        <v>18</v>
      </c>
      <c r="G7" s="1" t="s">
        <v>3</v>
      </c>
      <c r="H7" s="1" t="s">
        <v>19</v>
      </c>
      <c r="I7" s="1" t="s">
        <v>20</v>
      </c>
      <c r="J7" s="1" t="s">
        <v>68</v>
      </c>
      <c r="K7" s="1" t="s">
        <v>72</v>
      </c>
      <c r="L7" s="1" t="s">
        <v>73</v>
      </c>
    </row>
    <row r="8" spans="2:12" x14ac:dyDescent="0.3">
      <c r="B8" s="50" t="s">
        <v>66</v>
      </c>
      <c r="C8" s="49">
        <v>3</v>
      </c>
      <c r="D8" s="41">
        <f>Table6[[#This Row],[Product Rate]]/$C$16</f>
        <v>1.276595744680851E-2</v>
      </c>
      <c r="E8" s="34">
        <f>2000*Table6[[#This Row],[% of Blend]]</f>
        <v>25.531914893617021</v>
      </c>
      <c r="F8" s="44">
        <f>IFERROR((_xlfn.XLOOKUP(Table6[[#This Row],[Product]],DryDen[Product],DryDen[N],""))*Table6[[#This Row],[Product Rate]],"")</f>
        <v>0</v>
      </c>
      <c r="G8" s="44">
        <f>IFERROR((_xlfn.XLOOKUP(Table6[[#This Row],[Product]],DryDen[Product],DryDen[P],""))*Table6[[#This Row],[Product Rate]],"")</f>
        <v>0</v>
      </c>
      <c r="H8" s="44">
        <f>IFERROR((_xlfn.XLOOKUP(Table6[[#This Row],[Product]],DryDen[Product],DryDen[K],""))*Table6[[#This Row],[Product Rate]],"")</f>
        <v>0</v>
      </c>
      <c r="I8" s="44">
        <f>IFERROR((_xlfn.XLOOKUP(Table6[[#This Row],[Product]],DryDen[Product],DryDen[S],""))*Table6[[#This Row],[Product Rate]],"")</f>
        <v>0</v>
      </c>
      <c r="J8" s="44">
        <f>IFERROR((_xlfn.XLOOKUP(Table6[[#This Row],[Product]],DryDen[Product],DryDen[B],""))*Table6[[#This Row],[Product Rate]],"")</f>
        <v>0.44999999999999996</v>
      </c>
      <c r="K8" s="44">
        <f>IFERROR((_xlfn.XLOOKUP(Table6[[#This Row],[Product]],DryDen[Product],DryDen[Zn],""))*Table6[[#This Row],[Product Rate]],"")</f>
        <v>0</v>
      </c>
      <c r="L8" s="44">
        <f>IFERROR((_xlfn.XLOOKUP(Table6[[#This Row],[Product]],DryDen[Product],DryDen[Mg],""))*Table6[[#This Row],[Product Rate]],"")</f>
        <v>0</v>
      </c>
    </row>
    <row r="9" spans="2:12" x14ac:dyDescent="0.3">
      <c r="B9" s="50" t="s">
        <v>49</v>
      </c>
      <c r="C9" s="49">
        <v>100</v>
      </c>
      <c r="D9" s="41">
        <f>Table6[[#This Row],[Product Rate]]/$C$16</f>
        <v>0.42553191489361702</v>
      </c>
      <c r="E9" s="34">
        <f>2000*Table6[[#This Row],[% of Blend]]</f>
        <v>851.063829787234</v>
      </c>
      <c r="F9" s="44">
        <f>IFERROR((_xlfn.XLOOKUP(Table6[[#This Row],[Product]],DryDen[Product],DryDen[N],""))*Table6[[#This Row],[Product Rate]],"")</f>
        <v>21</v>
      </c>
      <c r="G9" s="44">
        <f>IFERROR((_xlfn.XLOOKUP(Table6[[#This Row],[Product]],DryDen[Product],DryDen[P],""))*Table6[[#This Row],[Product Rate]],"")</f>
        <v>0</v>
      </c>
      <c r="H9" s="44">
        <f>IFERROR((_xlfn.XLOOKUP(Table6[[#This Row],[Product]],DryDen[Product],DryDen[K],""))*Table6[[#This Row],[Product Rate]],"")</f>
        <v>0</v>
      </c>
      <c r="I9" s="44">
        <f>IFERROR((_xlfn.XLOOKUP(Table6[[#This Row],[Product]],DryDen[Product],DryDen[S],""))*Table6[[#This Row],[Product Rate]],"")</f>
        <v>24</v>
      </c>
      <c r="J9" s="44">
        <f>IFERROR((_xlfn.XLOOKUP(Table6[[#This Row],[Product]],DryDen[Product],DryDen[B],""))*Table6[[#This Row],[Product Rate]],"")</f>
        <v>0</v>
      </c>
      <c r="K9" s="44">
        <f>IFERROR((_xlfn.XLOOKUP(Table6[[#This Row],[Product]],DryDen[Product],DryDen[Zn],""))*Table6[[#This Row],[Product Rate]],"")</f>
        <v>0</v>
      </c>
      <c r="L9" s="44">
        <f>IFERROR((_xlfn.XLOOKUP(Table6[[#This Row],[Product]],DryDen[Product],DryDen[Mg],""))*Table6[[#This Row],[Product Rate]],"")</f>
        <v>0</v>
      </c>
    </row>
    <row r="10" spans="2:12" x14ac:dyDescent="0.3">
      <c r="B10" s="50" t="s">
        <v>46</v>
      </c>
      <c r="C10" s="49">
        <v>50</v>
      </c>
      <c r="D10" s="41">
        <f>Table6[[#This Row],[Product Rate]]/$C$16</f>
        <v>0.21276595744680851</v>
      </c>
      <c r="E10" s="34">
        <f>2000*Table6[[#This Row],[% of Blend]]</f>
        <v>425.531914893617</v>
      </c>
      <c r="F10" s="44">
        <f>IFERROR((_xlfn.XLOOKUP(Table6[[#This Row],[Product]],DryDen[Product],DryDen[N],""))*Table6[[#This Row],[Product Rate]],"")</f>
        <v>23</v>
      </c>
      <c r="G10" s="44">
        <f>IFERROR((_xlfn.XLOOKUP(Table6[[#This Row],[Product]],DryDen[Product],DryDen[P],""))*Table6[[#This Row],[Product Rate]],"")</f>
        <v>0</v>
      </c>
      <c r="H10" s="44">
        <f>IFERROR((_xlfn.XLOOKUP(Table6[[#This Row],[Product]],DryDen[Product],DryDen[K],""))*Table6[[#This Row],[Product Rate]],"")</f>
        <v>0</v>
      </c>
      <c r="I10" s="44">
        <f>IFERROR((_xlfn.XLOOKUP(Table6[[#This Row],[Product]],DryDen[Product],DryDen[S],""))*Table6[[#This Row],[Product Rate]],"")</f>
        <v>0</v>
      </c>
      <c r="J10" s="44">
        <f>IFERROR((_xlfn.XLOOKUP(Table6[[#This Row],[Product]],DryDen[Product],DryDen[B],""))*Table6[[#This Row],[Product Rate]],"")</f>
        <v>0</v>
      </c>
      <c r="K10" s="44">
        <f>IFERROR((_xlfn.XLOOKUP(Table6[[#This Row],[Product]],DryDen[Product],DryDen[Zn],""))*Table6[[#This Row],[Product Rate]],"")</f>
        <v>0</v>
      </c>
      <c r="L10" s="44">
        <f>IFERROR((_xlfn.XLOOKUP(Table6[[#This Row],[Product]],DryDen[Product],DryDen[Mg],""))*Table6[[#This Row],[Product Rate]],"")</f>
        <v>0</v>
      </c>
    </row>
    <row r="11" spans="2:12" x14ac:dyDescent="0.3">
      <c r="B11" s="50" t="s">
        <v>48</v>
      </c>
      <c r="C11" s="49">
        <v>80</v>
      </c>
      <c r="D11" s="41">
        <f>Table6[[#This Row],[Product Rate]]/$C$16</f>
        <v>0.34042553191489361</v>
      </c>
      <c r="E11" s="34">
        <f>2000*Table6[[#This Row],[% of Blend]]</f>
        <v>680.85106382978722</v>
      </c>
      <c r="F11" s="44">
        <f>IFERROR((_xlfn.XLOOKUP(Table6[[#This Row],[Product]],DryDen[Product],DryDen[N],""))*Table6[[#This Row],[Product Rate]],"")</f>
        <v>8.8000000000000007</v>
      </c>
      <c r="G11" s="44">
        <f>IFERROR((_xlfn.XLOOKUP(Table6[[#This Row],[Product]],DryDen[Product],DryDen[P],""))*Table6[[#This Row],[Product Rate]],"")</f>
        <v>41.6</v>
      </c>
      <c r="H11" s="44">
        <f>IFERROR((_xlfn.XLOOKUP(Table6[[#This Row],[Product]],DryDen[Product],DryDen[K],""))*Table6[[#This Row],[Product Rate]],"")</f>
        <v>0</v>
      </c>
      <c r="I11" s="44">
        <f>IFERROR((_xlfn.XLOOKUP(Table6[[#This Row],[Product]],DryDen[Product],DryDen[S],""))*Table6[[#This Row],[Product Rate]],"")</f>
        <v>0</v>
      </c>
      <c r="J11" s="44">
        <f>IFERROR((_xlfn.XLOOKUP(Table6[[#This Row],[Product]],DryDen[Product],DryDen[B],""))*Table6[[#This Row],[Product Rate]],"")</f>
        <v>0</v>
      </c>
      <c r="K11" s="44">
        <f>IFERROR((_xlfn.XLOOKUP(Table6[[#This Row],[Product]],DryDen[Product],DryDen[Zn],""))*Table6[[#This Row],[Product Rate]],"")</f>
        <v>0</v>
      </c>
      <c r="L11" s="44">
        <f>IFERROR((_xlfn.XLOOKUP(Table6[[#This Row],[Product]],DryDen[Product],DryDen[Mg],""))*Table6[[#This Row],[Product Rate]],"")</f>
        <v>0</v>
      </c>
    </row>
    <row r="12" spans="2:12" x14ac:dyDescent="0.3">
      <c r="B12" s="50" t="s">
        <v>67</v>
      </c>
      <c r="C12" s="49">
        <v>2</v>
      </c>
      <c r="D12" s="41">
        <f>Table6[[#This Row],[Product Rate]]/$C$16</f>
        <v>8.5106382978723406E-3</v>
      </c>
      <c r="E12" s="34">
        <f>2000*Table6[[#This Row],[% of Blend]]</f>
        <v>17.021276595744681</v>
      </c>
      <c r="F12" s="44">
        <f>IFERROR((_xlfn.XLOOKUP(Table6[[#This Row],[Product]],DryDen[Product],DryDen[N],""))*Table6[[#This Row],[Product Rate]],"")</f>
        <v>0</v>
      </c>
      <c r="G12" s="44">
        <f>IFERROR((_xlfn.XLOOKUP(Table6[[#This Row],[Product]],DryDen[Product],DryDen[P],""))*Table6[[#This Row],[Product Rate]],"")</f>
        <v>0</v>
      </c>
      <c r="H12" s="44">
        <f>IFERROR((_xlfn.XLOOKUP(Table6[[#This Row],[Product]],DryDen[Product],DryDen[K],""))*Table6[[#This Row],[Product Rate]],"")</f>
        <v>0</v>
      </c>
      <c r="I12" s="44">
        <f>IFERROR((_xlfn.XLOOKUP(Table6[[#This Row],[Product]],DryDen[Product],DryDen[S],""))*Table6[[#This Row],[Product Rate]],"")</f>
        <v>0.35</v>
      </c>
      <c r="J12" s="44">
        <f>IFERROR((_xlfn.XLOOKUP(Table6[[#This Row],[Product]],DryDen[Product],DryDen[B],""))*Table6[[#This Row],[Product Rate]],"")</f>
        <v>0</v>
      </c>
      <c r="K12" s="44">
        <f>IFERROR((_xlfn.XLOOKUP(Table6[[#This Row],[Product]],DryDen[Product],DryDen[Zn],""))*Table6[[#This Row],[Product Rate]],"")</f>
        <v>0.71</v>
      </c>
      <c r="L12" s="44">
        <f>IFERROR((_xlfn.XLOOKUP(Table6[[#This Row],[Product]],DryDen[Product],DryDen[Mg],""))*Table6[[#This Row],[Product Rate]],"")</f>
        <v>0</v>
      </c>
    </row>
    <row r="13" spans="2:12" x14ac:dyDescent="0.3">
      <c r="B13" s="50"/>
      <c r="C13" s="49"/>
      <c r="D13" s="41">
        <f>Table6[[#This Row],[Product Rate]]/$C$16</f>
        <v>0</v>
      </c>
      <c r="E13" s="34">
        <f>2000*Table6[[#This Row],[% of Blend]]</f>
        <v>0</v>
      </c>
      <c r="F13" s="44" t="str">
        <f>IFERROR((_xlfn.XLOOKUP(Table6[[#This Row],[Product]],DryDen[Product],DryDen[N],""))*Table6[[#This Row],[Product Rate]],"")</f>
        <v/>
      </c>
      <c r="G13" s="44" t="str">
        <f>IFERROR((_xlfn.XLOOKUP(Table6[[#This Row],[Product]],DryDen[Product],DryDen[P],""))*Table6[[#This Row],[Product Rate]],"")</f>
        <v/>
      </c>
      <c r="H13" s="44" t="str">
        <f>IFERROR((_xlfn.XLOOKUP(Table6[[#This Row],[Product]],DryDen[Product],DryDen[K],""))*Table6[[#This Row],[Product Rate]],"")</f>
        <v/>
      </c>
      <c r="I13" s="44" t="str">
        <f>IFERROR((_xlfn.XLOOKUP(Table6[[#This Row],[Product]],DryDen[Product],DryDen[S],""))*Table6[[#This Row],[Product Rate]],"")</f>
        <v/>
      </c>
      <c r="J13" s="44" t="str">
        <f>IFERROR((_xlfn.XLOOKUP(Table6[[#This Row],[Product]],DryDen[Product],DryDen[B],""))*Table6[[#This Row],[Product Rate]],"")</f>
        <v/>
      </c>
      <c r="K13" s="44" t="str">
        <f>IFERROR((_xlfn.XLOOKUP(Table6[[#This Row],[Product]],DryDen[Product],DryDen[Zn],""))*Table6[[#This Row],[Product Rate]],"")</f>
        <v/>
      </c>
      <c r="L13" s="44" t="str">
        <f>IFERROR((_xlfn.XLOOKUP(Table6[[#This Row],[Product]],DryDen[Product],DryDen[Mg],""))*Table6[[#This Row],[Product Rate]],"")</f>
        <v/>
      </c>
    </row>
    <row r="14" spans="2:12" x14ac:dyDescent="0.3">
      <c r="B14" s="50"/>
      <c r="C14" s="49"/>
      <c r="D14" s="41">
        <f>Table6[[#This Row],[Product Rate]]/$C$16</f>
        <v>0</v>
      </c>
      <c r="E14" s="34">
        <f>2000*Table6[[#This Row],[% of Blend]]</f>
        <v>0</v>
      </c>
      <c r="F14" s="44" t="str">
        <f>IFERROR((_xlfn.XLOOKUP(Table6[[#This Row],[Product]],DryDen[Product],DryDen[N],""))*Table6[[#This Row],[Product Rate]],"")</f>
        <v/>
      </c>
      <c r="G14" s="44" t="str">
        <f>IFERROR((_xlfn.XLOOKUP(Table6[[#This Row],[Product]],DryDen[Product],DryDen[P],""))*Table6[[#This Row],[Product Rate]],"")</f>
        <v/>
      </c>
      <c r="H14" s="44" t="str">
        <f>IFERROR((_xlfn.XLOOKUP(Table6[[#This Row],[Product]],DryDen[Product],DryDen[K],""))*Table6[[#This Row],[Product Rate]],"")</f>
        <v/>
      </c>
      <c r="I14" s="44" t="str">
        <f>IFERROR((_xlfn.XLOOKUP(Table6[[#This Row],[Product]],DryDen[Product],DryDen[S],""))*Table6[[#This Row],[Product Rate]],"")</f>
        <v/>
      </c>
      <c r="J14" s="44" t="str">
        <f>IFERROR((_xlfn.XLOOKUP(Table6[[#This Row],[Product]],DryDen[Product],DryDen[B],""))*Table6[[#This Row],[Product Rate]],"")</f>
        <v/>
      </c>
      <c r="K14" s="44" t="str">
        <f>IFERROR((_xlfn.XLOOKUP(Table6[[#This Row],[Product]],DryDen[Product],DryDen[Zn],""))*Table6[[#This Row],[Product Rate]],"")</f>
        <v/>
      </c>
      <c r="L14" s="44" t="str">
        <f>IFERROR((_xlfn.XLOOKUP(Table6[[#This Row],[Product]],DryDen[Product],DryDen[Mg],""))*Table6[[#This Row],[Product Rate]],"")</f>
        <v/>
      </c>
    </row>
    <row r="15" spans="2:12" x14ac:dyDescent="0.3">
      <c r="B15" s="50"/>
      <c r="C15" s="49"/>
      <c r="D15" s="41">
        <f>Table6[[#This Row],[Product Rate]]/$C$16</f>
        <v>0</v>
      </c>
      <c r="E15" s="34">
        <f>2000*Table6[[#This Row],[% of Blend]]</f>
        <v>0</v>
      </c>
      <c r="F15" s="44" t="str">
        <f>IFERROR((_xlfn.XLOOKUP(Table6[[#This Row],[Product]],DryDen[Product],DryDen[N],""))*Table6[[#This Row],[Product Rate]],"")</f>
        <v/>
      </c>
      <c r="G15" s="44" t="str">
        <f>IFERROR((_xlfn.XLOOKUP(Table6[[#This Row],[Product]],DryDen[Product],DryDen[P],""))*Table6[[#This Row],[Product Rate]],"")</f>
        <v/>
      </c>
      <c r="H15" s="44" t="str">
        <f>IFERROR((_xlfn.XLOOKUP(Table6[[#This Row],[Product]],DryDen[Product],DryDen[K],""))*Table6[[#This Row],[Product Rate]],"")</f>
        <v/>
      </c>
      <c r="I15" s="44" t="str">
        <f>IFERROR((_xlfn.XLOOKUP(Table6[[#This Row],[Product]],DryDen[Product],DryDen[S],""))*Table6[[#This Row],[Product Rate]],"")</f>
        <v/>
      </c>
      <c r="J15" s="44" t="str">
        <f>IFERROR((_xlfn.XLOOKUP(Table6[[#This Row],[Product]],DryDen[Product],DryDen[B],""))*Table6[[#This Row],[Product Rate]],"")</f>
        <v/>
      </c>
      <c r="K15" s="44" t="str">
        <f>IFERROR((_xlfn.XLOOKUP(Table6[[#This Row],[Product]],DryDen[Product],DryDen[Zn],""))*Table6[[#This Row],[Product Rate]],"")</f>
        <v/>
      </c>
      <c r="L15" s="44" t="str">
        <f>IFERROR((_xlfn.XLOOKUP(Table6[[#This Row],[Product]],DryDen[Product],DryDen[Mg],""))*Table6[[#This Row],[Product Rate]],"")</f>
        <v/>
      </c>
    </row>
    <row r="16" spans="2:12" x14ac:dyDescent="0.3">
      <c r="B16" t="s">
        <v>74</v>
      </c>
      <c r="C16">
        <f>SUM(Table6[Product Rate])</f>
        <v>235</v>
      </c>
      <c r="D16" s="42">
        <f>SUM(Table6[% of Blend])</f>
        <v>1</v>
      </c>
      <c r="E16" s="34">
        <f>SUM(Table6[Mix per Ton])</f>
        <v>1999.9999999999998</v>
      </c>
      <c r="F16" s="1">
        <f>SUM(Table6[N])</f>
        <v>52.8</v>
      </c>
      <c r="G16" s="1">
        <f>SUM(Table6[P])</f>
        <v>41.6</v>
      </c>
      <c r="H16" s="1">
        <f>SUM(Table6[K])</f>
        <v>0</v>
      </c>
      <c r="I16" s="1">
        <f>SUM(Table6[S])</f>
        <v>24.35</v>
      </c>
      <c r="J16" s="1">
        <f>SUM(Table6[B])</f>
        <v>0.44999999999999996</v>
      </c>
      <c r="K16" s="1">
        <f>SUM(Table6[[Zn ]])</f>
        <v>0.71</v>
      </c>
      <c r="L16" s="1">
        <f>SUM(Table6[Mg])</f>
        <v>0</v>
      </c>
    </row>
    <row r="21" spans="2:12" x14ac:dyDescent="0.3">
      <c r="B21" t="s">
        <v>11</v>
      </c>
      <c r="C21" t="s">
        <v>69</v>
      </c>
      <c r="D21" t="s">
        <v>70</v>
      </c>
      <c r="E21" t="s">
        <v>71</v>
      </c>
      <c r="F21" s="1" t="s">
        <v>18</v>
      </c>
      <c r="G21" s="1" t="s">
        <v>3</v>
      </c>
      <c r="H21" s="1" t="s">
        <v>19</v>
      </c>
      <c r="I21" s="1" t="s">
        <v>20</v>
      </c>
      <c r="J21" s="1" t="s">
        <v>68</v>
      </c>
      <c r="K21" s="1" t="s">
        <v>72</v>
      </c>
      <c r="L21" s="1" t="s">
        <v>73</v>
      </c>
    </row>
    <row r="22" spans="2:12" x14ac:dyDescent="0.3">
      <c r="B22" t="str">
        <f t="shared" ref="B22:B29" si="0">B8</f>
        <v>Boron 15%</v>
      </c>
      <c r="C22" s="34">
        <f>$C$30*Table68[[#This Row],[% of Blend]]</f>
        <v>1.2765957446808509</v>
      </c>
      <c r="D22" s="41">
        <f t="shared" ref="D22:D29" si="1">D8</f>
        <v>1.276595744680851E-2</v>
      </c>
      <c r="E22" s="34">
        <f>2000*Table68[[#This Row],[% of Blend]]</f>
        <v>25.531914893617021</v>
      </c>
      <c r="F22" s="44">
        <f>IFERROR((_xlfn.XLOOKUP(Table68[[#This Row],[Product]],DryDen[Product],DryDen[N],""))*Table68[[#This Row],[Product Rate]],"")</f>
        <v>0</v>
      </c>
      <c r="G22" s="44">
        <f>IFERROR((_xlfn.XLOOKUP(Table68[[#This Row],[Product]],DryDen[Product],DryDen[P],""))*Table68[[#This Row],[Product Rate]],"")</f>
        <v>0</v>
      </c>
      <c r="H22" s="44">
        <f>IFERROR((_xlfn.XLOOKUP(Table68[[#This Row],[Product]],DryDen[Product],DryDen[K],""))*Table68[[#This Row],[Product Rate]],"")</f>
        <v>0</v>
      </c>
      <c r="I22" s="44">
        <f>IFERROR((_xlfn.XLOOKUP(Table68[[#This Row],[Product]],DryDen[Product],DryDen[S],""))*Table68[[#This Row],[Product Rate]],"")</f>
        <v>0</v>
      </c>
      <c r="J22" s="44">
        <f>IFERROR((_xlfn.XLOOKUP(Table68[[#This Row],[Product]],DryDen[Product],DryDen[B],""))*Table68[[#This Row],[Product Rate]],"")</f>
        <v>0.19148936170212763</v>
      </c>
      <c r="K22" s="44">
        <f>IFERROR((_xlfn.XLOOKUP(Table68[[#This Row],[Product]],DryDen[Product],DryDen[Zn],""))*Table68[[#This Row],[Product Rate]],"")</f>
        <v>0</v>
      </c>
      <c r="L22" s="44">
        <f>IFERROR((_xlfn.XLOOKUP(Table68[[#This Row],[Product]],DryDen[Product],DryDen[Mg],""))*Table68[[#This Row],[Product Rate]],"")</f>
        <v>0</v>
      </c>
    </row>
    <row r="23" spans="2:12" x14ac:dyDescent="0.3">
      <c r="B23" t="str">
        <f t="shared" si="0"/>
        <v>21-0-0-24S</v>
      </c>
      <c r="C23" s="34">
        <f>$C$30*Table68[[#This Row],[% of Blend]]</f>
        <v>42.553191489361701</v>
      </c>
      <c r="D23" s="41">
        <f t="shared" si="1"/>
        <v>0.42553191489361702</v>
      </c>
      <c r="E23" s="34">
        <f>2000*Table68[[#This Row],[% of Blend]]</f>
        <v>851.063829787234</v>
      </c>
      <c r="F23" s="44">
        <f>IFERROR((_xlfn.XLOOKUP(Table68[[#This Row],[Product]],DryDen[Product],DryDen[N],""))*Table68[[#This Row],[Product Rate]],"")</f>
        <v>8.9361702127659566</v>
      </c>
      <c r="G23" s="44">
        <f>IFERROR((_xlfn.XLOOKUP(Table68[[#This Row],[Product]],DryDen[Product],DryDen[P],""))*Table68[[#This Row],[Product Rate]],"")</f>
        <v>0</v>
      </c>
      <c r="H23" s="44">
        <f>IFERROR((_xlfn.XLOOKUP(Table68[[#This Row],[Product]],DryDen[Product],DryDen[K],""))*Table68[[#This Row],[Product Rate]],"")</f>
        <v>0</v>
      </c>
      <c r="I23" s="44">
        <f>IFERROR((_xlfn.XLOOKUP(Table68[[#This Row],[Product]],DryDen[Product],DryDen[S],""))*Table68[[#This Row],[Product Rate]],"")</f>
        <v>10.212765957446807</v>
      </c>
      <c r="J23" s="44">
        <f>IFERROR((_xlfn.XLOOKUP(Table68[[#This Row],[Product]],DryDen[Product],DryDen[B],""))*Table68[[#This Row],[Product Rate]],"")</f>
        <v>0</v>
      </c>
      <c r="K23" s="44">
        <f>IFERROR((_xlfn.XLOOKUP(Table68[[#This Row],[Product]],DryDen[Product],DryDen[Zn],""))*Table68[[#This Row],[Product Rate]],"")</f>
        <v>0</v>
      </c>
      <c r="L23" s="44">
        <f>IFERROR((_xlfn.XLOOKUP(Table68[[#This Row],[Product]],DryDen[Product],DryDen[Mg],""))*Table68[[#This Row],[Product Rate]],"")</f>
        <v>0</v>
      </c>
    </row>
    <row r="24" spans="2:12" x14ac:dyDescent="0.3">
      <c r="B24" t="str">
        <f t="shared" si="0"/>
        <v>46-0-0</v>
      </c>
      <c r="C24" s="34">
        <f>$C$30*Table68[[#This Row],[% of Blend]]</f>
        <v>21.276595744680851</v>
      </c>
      <c r="D24" s="41">
        <f t="shared" si="1"/>
        <v>0.21276595744680851</v>
      </c>
      <c r="E24" s="34">
        <f>2000*Table68[[#This Row],[% of Blend]]</f>
        <v>425.531914893617</v>
      </c>
      <c r="F24" s="44">
        <f>IFERROR((_xlfn.XLOOKUP(Table68[[#This Row],[Product]],DryDen[Product],DryDen[N],""))*Table68[[#This Row],[Product Rate]],"")</f>
        <v>9.787234042553191</v>
      </c>
      <c r="G24" s="44">
        <f>IFERROR((_xlfn.XLOOKUP(Table68[[#This Row],[Product]],DryDen[Product],DryDen[P],""))*Table68[[#This Row],[Product Rate]],"")</f>
        <v>0</v>
      </c>
      <c r="H24" s="44">
        <f>IFERROR((_xlfn.XLOOKUP(Table68[[#This Row],[Product]],DryDen[Product],DryDen[K],""))*Table68[[#This Row],[Product Rate]],"")</f>
        <v>0</v>
      </c>
      <c r="I24" s="44">
        <f>IFERROR((_xlfn.XLOOKUP(Table68[[#This Row],[Product]],DryDen[Product],DryDen[S],""))*Table68[[#This Row],[Product Rate]],"")</f>
        <v>0</v>
      </c>
      <c r="J24" s="44">
        <f>IFERROR((_xlfn.XLOOKUP(Table68[[#This Row],[Product]],DryDen[Product],DryDen[B],""))*Table68[[#This Row],[Product Rate]],"")</f>
        <v>0</v>
      </c>
      <c r="K24" s="44">
        <f>IFERROR((_xlfn.XLOOKUP(Table68[[#This Row],[Product]],DryDen[Product],DryDen[Zn],""))*Table68[[#This Row],[Product Rate]],"")</f>
        <v>0</v>
      </c>
      <c r="L24" s="44">
        <f>IFERROR((_xlfn.XLOOKUP(Table68[[#This Row],[Product]],DryDen[Product],DryDen[Mg],""))*Table68[[#This Row],[Product Rate]],"")</f>
        <v>0</v>
      </c>
    </row>
    <row r="25" spans="2:12" x14ac:dyDescent="0.3">
      <c r="B25" t="str">
        <f t="shared" si="0"/>
        <v>11-52-0</v>
      </c>
      <c r="C25" s="34">
        <f>$C$30*Table68[[#This Row],[% of Blend]]</f>
        <v>34.042553191489361</v>
      </c>
      <c r="D25" s="41">
        <f t="shared" si="1"/>
        <v>0.34042553191489361</v>
      </c>
      <c r="E25" s="34">
        <f>2000*Table68[[#This Row],[% of Blend]]</f>
        <v>680.85106382978722</v>
      </c>
      <c r="F25" s="44">
        <f>IFERROR((_xlfn.XLOOKUP(Table68[[#This Row],[Product]],DryDen[Product],DryDen[N],""))*Table68[[#This Row],[Product Rate]],"")</f>
        <v>3.7446808510638299</v>
      </c>
      <c r="G25" s="44">
        <f>IFERROR((_xlfn.XLOOKUP(Table68[[#This Row],[Product]],DryDen[Product],DryDen[P],""))*Table68[[#This Row],[Product Rate]],"")</f>
        <v>17.702127659574469</v>
      </c>
      <c r="H25" s="44">
        <f>IFERROR((_xlfn.XLOOKUP(Table68[[#This Row],[Product]],DryDen[Product],DryDen[K],""))*Table68[[#This Row],[Product Rate]],"")</f>
        <v>0</v>
      </c>
      <c r="I25" s="44">
        <f>IFERROR((_xlfn.XLOOKUP(Table68[[#This Row],[Product]],DryDen[Product],DryDen[S],""))*Table68[[#This Row],[Product Rate]],"")</f>
        <v>0</v>
      </c>
      <c r="J25" s="44">
        <f>IFERROR((_xlfn.XLOOKUP(Table68[[#This Row],[Product]],DryDen[Product],DryDen[B],""))*Table68[[#This Row],[Product Rate]],"")</f>
        <v>0</v>
      </c>
      <c r="K25" s="44">
        <f>IFERROR((_xlfn.XLOOKUP(Table68[[#This Row],[Product]],DryDen[Product],DryDen[Zn],""))*Table68[[#This Row],[Product Rate]],"")</f>
        <v>0</v>
      </c>
      <c r="L25" s="44">
        <f>IFERROR((_xlfn.XLOOKUP(Table68[[#This Row],[Product]],DryDen[Product],DryDen[Mg],""))*Table68[[#This Row],[Product Rate]],"")</f>
        <v>0</v>
      </c>
    </row>
    <row r="26" spans="2:12" x14ac:dyDescent="0.3">
      <c r="B26" t="str">
        <f t="shared" si="0"/>
        <v>Zinc Sulfate</v>
      </c>
      <c r="C26" s="34">
        <f>$C$30*Table68[[#This Row],[% of Blend]]</f>
        <v>0.85106382978723405</v>
      </c>
      <c r="D26" s="41">
        <f t="shared" si="1"/>
        <v>8.5106382978723406E-3</v>
      </c>
      <c r="E26" s="34">
        <f>2000*Table68[[#This Row],[% of Blend]]</f>
        <v>17.021276595744681</v>
      </c>
      <c r="F26" s="44">
        <f>IFERROR((_xlfn.XLOOKUP(Table68[[#This Row],[Product]],DryDen[Product],DryDen[N],""))*Table68[[#This Row],[Product Rate]],"")</f>
        <v>0</v>
      </c>
      <c r="G26" s="44">
        <f>IFERROR((_xlfn.XLOOKUP(Table68[[#This Row],[Product]],DryDen[Product],DryDen[P],""))*Table68[[#This Row],[Product Rate]],"")</f>
        <v>0</v>
      </c>
      <c r="H26" s="44">
        <f>IFERROR((_xlfn.XLOOKUP(Table68[[#This Row],[Product]],DryDen[Product],DryDen[K],""))*Table68[[#This Row],[Product Rate]],"")</f>
        <v>0</v>
      </c>
      <c r="I26" s="44">
        <f>IFERROR((_xlfn.XLOOKUP(Table68[[#This Row],[Product]],DryDen[Product],DryDen[S],""))*Table68[[#This Row],[Product Rate]],"")</f>
        <v>0.14893617021276595</v>
      </c>
      <c r="J26" s="44">
        <f>IFERROR((_xlfn.XLOOKUP(Table68[[#This Row],[Product]],DryDen[Product],DryDen[B],""))*Table68[[#This Row],[Product Rate]],"")</f>
        <v>0</v>
      </c>
      <c r="K26" s="44">
        <f>IFERROR((_xlfn.XLOOKUP(Table68[[#This Row],[Product]],DryDen[Product],DryDen[Zn],""))*Table68[[#This Row],[Product Rate]],"")</f>
        <v>0.30212765957446808</v>
      </c>
      <c r="L26" s="44">
        <f>IFERROR((_xlfn.XLOOKUP(Table68[[#This Row],[Product]],DryDen[Product],DryDen[Mg],""))*Table68[[#This Row],[Product Rate]],"")</f>
        <v>0</v>
      </c>
    </row>
    <row r="27" spans="2:12" x14ac:dyDescent="0.3">
      <c r="B27">
        <f t="shared" si="0"/>
        <v>0</v>
      </c>
      <c r="C27" s="34">
        <f>$C$30*Table68[[#This Row],[% of Blend]]</f>
        <v>0</v>
      </c>
      <c r="D27" s="41">
        <f t="shared" si="1"/>
        <v>0</v>
      </c>
      <c r="E27" s="34">
        <f>2000*Table68[[#This Row],[% of Blend]]</f>
        <v>0</v>
      </c>
      <c r="F27" s="44" t="str">
        <f>IFERROR((_xlfn.XLOOKUP(Table68[[#This Row],[Product]],DryDen[Product],DryDen[N],""))*Table68[[#This Row],[Product Rate]],"")</f>
        <v/>
      </c>
      <c r="G27" s="44" t="str">
        <f>IFERROR((_xlfn.XLOOKUP(Table68[[#This Row],[Product]],DryDen[Product],DryDen[P],""))*Table68[[#This Row],[Product Rate]],"")</f>
        <v/>
      </c>
      <c r="H27" s="44" t="str">
        <f>IFERROR((_xlfn.XLOOKUP(Table68[[#This Row],[Product]],DryDen[Product],DryDen[K],""))*Table68[[#This Row],[Product Rate]],"")</f>
        <v/>
      </c>
      <c r="I27" s="44" t="str">
        <f>IFERROR((_xlfn.XLOOKUP(Table68[[#This Row],[Product]],DryDen[Product],DryDen[S],""))*Table68[[#This Row],[Product Rate]],"")</f>
        <v/>
      </c>
      <c r="J27" s="44" t="str">
        <f>IFERROR((_xlfn.XLOOKUP(Table68[[#This Row],[Product]],DryDen[Product],DryDen[B],""))*Table68[[#This Row],[Product Rate]],"")</f>
        <v/>
      </c>
      <c r="K27" s="44" t="str">
        <f>IFERROR((_xlfn.XLOOKUP(Table68[[#This Row],[Product]],DryDen[Product],DryDen[Zn],""))*Table68[[#This Row],[Product Rate]],"")</f>
        <v/>
      </c>
      <c r="L27" s="44" t="str">
        <f>IFERROR((_xlfn.XLOOKUP(Table68[[#This Row],[Product]],DryDen[Product],DryDen[Mg],""))*Table68[[#This Row],[Product Rate]],"")</f>
        <v/>
      </c>
    </row>
    <row r="28" spans="2:12" x14ac:dyDescent="0.3">
      <c r="B28">
        <f t="shared" si="0"/>
        <v>0</v>
      </c>
      <c r="C28" s="34">
        <f>$C$30*Table68[[#This Row],[% of Blend]]</f>
        <v>0</v>
      </c>
      <c r="D28" s="41">
        <f t="shared" si="1"/>
        <v>0</v>
      </c>
      <c r="E28" s="34">
        <f>2000*Table68[[#This Row],[% of Blend]]</f>
        <v>0</v>
      </c>
      <c r="F28" s="44" t="str">
        <f>IFERROR((_xlfn.XLOOKUP(Table68[[#This Row],[Product]],DryDen[Product],DryDen[N],""))*Table68[[#This Row],[Product Rate]],"")</f>
        <v/>
      </c>
      <c r="G28" s="44" t="str">
        <f>IFERROR((_xlfn.XLOOKUP(Table68[[#This Row],[Product]],DryDen[Product],DryDen[P],""))*Table68[[#This Row],[Product Rate]],"")</f>
        <v/>
      </c>
      <c r="H28" s="44" t="str">
        <f>IFERROR((_xlfn.XLOOKUP(Table68[[#This Row],[Product]],DryDen[Product],DryDen[K],""))*Table68[[#This Row],[Product Rate]],"")</f>
        <v/>
      </c>
      <c r="I28" s="44" t="str">
        <f>IFERROR((_xlfn.XLOOKUP(Table68[[#This Row],[Product]],DryDen[Product],DryDen[S],""))*Table68[[#This Row],[Product Rate]],"")</f>
        <v/>
      </c>
      <c r="J28" s="44" t="str">
        <f>IFERROR((_xlfn.XLOOKUP(Table68[[#This Row],[Product]],DryDen[Product],DryDen[B],""))*Table68[[#This Row],[Product Rate]],"")</f>
        <v/>
      </c>
      <c r="K28" s="44" t="str">
        <f>IFERROR((_xlfn.XLOOKUP(Table68[[#This Row],[Product]],DryDen[Product],DryDen[Zn],""))*Table68[[#This Row],[Product Rate]],"")</f>
        <v/>
      </c>
      <c r="L28" s="44" t="str">
        <f>IFERROR((_xlfn.XLOOKUP(Table68[[#This Row],[Product]],DryDen[Product],DryDen[Mg],""))*Table68[[#This Row],[Product Rate]],"")</f>
        <v/>
      </c>
    </row>
    <row r="29" spans="2:12" x14ac:dyDescent="0.3">
      <c r="B29">
        <f t="shared" si="0"/>
        <v>0</v>
      </c>
      <c r="C29" s="34">
        <f>$C$30*Table68[[#This Row],[% of Blend]]</f>
        <v>0</v>
      </c>
      <c r="D29" s="41">
        <f t="shared" si="1"/>
        <v>0</v>
      </c>
      <c r="E29" s="34">
        <f>2000*Table68[[#This Row],[% of Blend]]</f>
        <v>0</v>
      </c>
      <c r="F29" s="44" t="str">
        <f>IFERROR((_xlfn.XLOOKUP(Table68[[#This Row],[Product]],DryDen[Product],DryDen[N],""))*Table68[[#This Row],[Product Rate]],"")</f>
        <v/>
      </c>
      <c r="G29" s="44" t="str">
        <f>IFERROR((_xlfn.XLOOKUP(Table68[[#This Row],[Product]],DryDen[Product],DryDen[P],""))*Table68[[#This Row],[Product Rate]],"")</f>
        <v/>
      </c>
      <c r="H29" s="44" t="str">
        <f>IFERROR((_xlfn.XLOOKUP(Table68[[#This Row],[Product]],DryDen[Product],DryDen[K],""))*Table68[[#This Row],[Product Rate]],"")</f>
        <v/>
      </c>
      <c r="I29" s="44" t="str">
        <f>IFERROR((_xlfn.XLOOKUP(Table68[[#This Row],[Product]],DryDen[Product],DryDen[S],""))*Table68[[#This Row],[Product Rate]],"")</f>
        <v/>
      </c>
      <c r="J29" s="44" t="str">
        <f>IFERROR((_xlfn.XLOOKUP(Table68[[#This Row],[Product]],DryDen[Product],DryDen[B],""))*Table68[[#This Row],[Product Rate]],"")</f>
        <v/>
      </c>
      <c r="K29" s="44" t="str">
        <f>IFERROR((_xlfn.XLOOKUP(Table68[[#This Row],[Product]],DryDen[Product],DryDen[Zn],""))*Table68[[#This Row],[Product Rate]],"")</f>
        <v/>
      </c>
      <c r="L29" s="44" t="str">
        <f>IFERROR((_xlfn.XLOOKUP(Table68[[#This Row],[Product]],DryDen[Product],DryDen[Mg],""))*Table68[[#This Row],[Product Rate]],"")</f>
        <v/>
      </c>
    </row>
    <row r="30" spans="2:12" x14ac:dyDescent="0.3">
      <c r="B30" t="s">
        <v>74</v>
      </c>
      <c r="C30" s="49">
        <v>100</v>
      </c>
      <c r="D30" s="42">
        <f>SUM(Table68[% of Blend])</f>
        <v>1</v>
      </c>
      <c r="E30" s="34">
        <f>SUM(Table68[Mix per Ton])</f>
        <v>1999.9999999999998</v>
      </c>
      <c r="F30" s="44">
        <f>SUM(Table68[N])</f>
        <v>22.468085106382976</v>
      </c>
      <c r="G30" s="44">
        <f>SUM(Table68[P])</f>
        <v>17.702127659574469</v>
      </c>
      <c r="H30" s="44">
        <f>SUM(Table68[K])</f>
        <v>0</v>
      </c>
      <c r="I30" s="44">
        <f>SUM(Table68[S])</f>
        <v>10.361702127659573</v>
      </c>
      <c r="J30" s="44">
        <f>SUM(Table68[B])</f>
        <v>0.19148936170212763</v>
      </c>
      <c r="K30" s="44">
        <f>SUM(Table68[[Zn ]])</f>
        <v>0.30212765957446808</v>
      </c>
      <c r="L30" s="44">
        <f>SUM(Table68[Mg])</f>
        <v>0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483F5B-2CFA-4330-91D1-0BF5781FBC2A}">
          <x14:formula1>
            <xm:f>'Input Data'!$A$28:$A$34</xm:f>
          </x14:formula1>
          <xm:sqref>B8:B15 B22:B29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1AC4-FC5B-4DD6-9D1D-22C0E58D1338}">
  <dimension ref="A1:H43"/>
  <sheetViews>
    <sheetView workbookViewId="0">
      <selection activeCell="H4" sqref="H4"/>
    </sheetView>
  </sheetViews>
  <sheetFormatPr defaultRowHeight="14.4" x14ac:dyDescent="0.3"/>
  <cols>
    <col min="1" max="1" width="18.33203125" customWidth="1"/>
    <col min="2" max="2" width="6.109375" bestFit="1" customWidth="1"/>
    <col min="3" max="5" width="5.5546875" bestFit="1" customWidth="1"/>
    <col min="6" max="6" width="6.109375" bestFit="1" customWidth="1"/>
    <col min="7" max="7" width="8.21875" customWidth="1"/>
  </cols>
  <sheetData>
    <row r="1" spans="1:8" x14ac:dyDescent="0.3">
      <c r="H1" t="s">
        <v>21</v>
      </c>
    </row>
    <row r="2" spans="1:8" x14ac:dyDescent="0.3">
      <c r="A2" t="s">
        <v>11</v>
      </c>
      <c r="B2" t="s">
        <v>18</v>
      </c>
      <c r="C2" t="s">
        <v>3</v>
      </c>
      <c r="D2" t="s">
        <v>19</v>
      </c>
      <c r="E2" t="s">
        <v>20</v>
      </c>
      <c r="F2" t="s">
        <v>22</v>
      </c>
      <c r="G2" t="s">
        <v>68</v>
      </c>
      <c r="H2" s="1" t="s">
        <v>35</v>
      </c>
    </row>
    <row r="3" spans="1:8" x14ac:dyDescent="0.3">
      <c r="A3" t="s">
        <v>17</v>
      </c>
      <c r="B3" s="8">
        <v>0.28000000000000003</v>
      </c>
      <c r="C3" s="8"/>
      <c r="D3" s="8"/>
      <c r="E3" s="8"/>
      <c r="F3" s="8"/>
      <c r="G3" s="8"/>
      <c r="H3" s="11">
        <v>10.6</v>
      </c>
    </row>
    <row r="4" spans="1:8" x14ac:dyDescent="0.3">
      <c r="A4" s="3" t="s">
        <v>16</v>
      </c>
      <c r="B4" s="8">
        <v>0.32</v>
      </c>
      <c r="C4" s="8"/>
      <c r="D4" s="8"/>
      <c r="E4" s="8"/>
      <c r="F4" s="8"/>
      <c r="G4" s="8"/>
      <c r="H4" s="11">
        <v>11.06</v>
      </c>
    </row>
    <row r="5" spans="1:8" x14ac:dyDescent="0.3">
      <c r="A5" s="3" t="s">
        <v>14</v>
      </c>
      <c r="B5" s="8"/>
      <c r="C5" s="8"/>
      <c r="D5" s="8">
        <v>0.32</v>
      </c>
      <c r="E5" s="8"/>
      <c r="F5" s="8"/>
      <c r="G5" s="8"/>
      <c r="H5" s="11">
        <v>11.06</v>
      </c>
    </row>
    <row r="6" spans="1:8" x14ac:dyDescent="0.3">
      <c r="A6" s="3" t="s">
        <v>23</v>
      </c>
      <c r="B6" s="8">
        <v>0.06</v>
      </c>
      <c r="C6" s="8">
        <v>0.24</v>
      </c>
      <c r="D6" s="8">
        <v>0.06</v>
      </c>
      <c r="E6" s="8"/>
      <c r="F6" s="8"/>
      <c r="G6" s="8"/>
      <c r="H6" s="11">
        <v>11.2</v>
      </c>
    </row>
    <row r="7" spans="1:8" x14ac:dyDescent="0.3">
      <c r="A7" s="3" t="s">
        <v>24</v>
      </c>
      <c r="B7" s="8">
        <v>0.09</v>
      </c>
      <c r="C7" s="8">
        <v>0.18</v>
      </c>
      <c r="D7" s="8">
        <v>0.09</v>
      </c>
      <c r="E7" s="8"/>
      <c r="F7" s="8"/>
      <c r="G7" s="8"/>
      <c r="H7" s="11">
        <v>11.1</v>
      </c>
    </row>
    <row r="8" spans="1:8" x14ac:dyDescent="0.3">
      <c r="A8" s="3" t="s">
        <v>25</v>
      </c>
      <c r="B8" s="8">
        <v>0.03</v>
      </c>
      <c r="C8" s="8">
        <v>0.18</v>
      </c>
      <c r="D8" s="8">
        <v>0.18</v>
      </c>
      <c r="E8" s="8"/>
      <c r="F8" s="8"/>
      <c r="G8" s="8"/>
      <c r="H8" s="11">
        <v>11.76</v>
      </c>
    </row>
    <row r="9" spans="1:8" x14ac:dyDescent="0.3">
      <c r="A9" s="3" t="s">
        <v>12</v>
      </c>
      <c r="B9" s="8">
        <v>0.1</v>
      </c>
      <c r="C9" s="8">
        <v>0.34</v>
      </c>
      <c r="D9" s="8"/>
      <c r="E9" s="8"/>
      <c r="F9" s="8"/>
      <c r="G9" s="8"/>
      <c r="H9" s="11">
        <v>11.65</v>
      </c>
    </row>
    <row r="10" spans="1:8" x14ac:dyDescent="0.3">
      <c r="A10" s="3" t="s">
        <v>26</v>
      </c>
      <c r="B10" s="8">
        <v>0.11</v>
      </c>
      <c r="C10" s="8">
        <v>0.37</v>
      </c>
      <c r="D10" s="8"/>
      <c r="E10" s="8"/>
      <c r="F10" s="8"/>
      <c r="G10" s="8"/>
      <c r="H10" s="11">
        <v>11.9</v>
      </c>
    </row>
    <row r="11" spans="1:8" x14ac:dyDescent="0.3">
      <c r="A11" s="3" t="s">
        <v>15</v>
      </c>
      <c r="B11" s="8">
        <v>0.12</v>
      </c>
      <c r="C11" s="8"/>
      <c r="D11" s="8"/>
      <c r="E11" s="8">
        <v>0.26</v>
      </c>
      <c r="F11" s="8"/>
      <c r="G11" s="8"/>
      <c r="H11" s="11">
        <v>11.1</v>
      </c>
    </row>
    <row r="12" spans="1:8" x14ac:dyDescent="0.3">
      <c r="A12" s="3" t="s">
        <v>27</v>
      </c>
      <c r="B12" s="8">
        <v>0.1</v>
      </c>
      <c r="C12" s="8"/>
      <c r="D12" s="8"/>
      <c r="E12" s="8"/>
      <c r="F12" s="8">
        <v>0.1</v>
      </c>
      <c r="G12" s="8"/>
      <c r="H12" s="11">
        <v>10.8</v>
      </c>
    </row>
    <row r="13" spans="1:8" x14ac:dyDescent="0.3">
      <c r="A13" s="3" t="s">
        <v>13</v>
      </c>
      <c r="B13" s="8">
        <v>7.0000000000000007E-2</v>
      </c>
      <c r="C13" s="8">
        <v>0.21</v>
      </c>
      <c r="D13" s="8">
        <v>7.0000000000000007E-2</v>
      </c>
      <c r="E13" s="8"/>
      <c r="F13" s="8"/>
      <c r="G13" s="8"/>
      <c r="H13" s="11">
        <v>11.2</v>
      </c>
    </row>
    <row r="14" spans="1:8" x14ac:dyDescent="0.3">
      <c r="A14" s="3" t="s">
        <v>28</v>
      </c>
      <c r="B14" s="8">
        <v>0.04</v>
      </c>
      <c r="C14" s="8">
        <v>0.1</v>
      </c>
      <c r="D14" s="8">
        <v>0.1</v>
      </c>
      <c r="E14" s="8"/>
      <c r="F14" s="8"/>
      <c r="G14" s="8"/>
      <c r="H14" s="11">
        <v>10.3</v>
      </c>
    </row>
    <row r="15" spans="1:8" x14ac:dyDescent="0.3">
      <c r="A15" s="3" t="s">
        <v>29</v>
      </c>
      <c r="B15" s="8">
        <v>0.08</v>
      </c>
      <c r="C15" s="8">
        <v>0.21</v>
      </c>
      <c r="D15" s="8">
        <v>0.04</v>
      </c>
      <c r="E15" s="8">
        <v>0.03</v>
      </c>
      <c r="F15" s="8">
        <v>5.0000000000000001E-3</v>
      </c>
      <c r="G15" s="8"/>
      <c r="H15" s="11">
        <v>11.3</v>
      </c>
    </row>
    <row r="16" spans="1:8" x14ac:dyDescent="0.3">
      <c r="A16" s="3" t="s">
        <v>30</v>
      </c>
      <c r="B16" s="8">
        <v>0.09</v>
      </c>
      <c r="C16" s="8">
        <v>0.18</v>
      </c>
      <c r="D16" s="8">
        <v>0.04</v>
      </c>
      <c r="E16" s="8">
        <v>0.06</v>
      </c>
      <c r="F16" s="8">
        <v>5.0000000000000001E-3</v>
      </c>
      <c r="G16" s="8"/>
      <c r="H16" s="11">
        <v>11.3</v>
      </c>
    </row>
    <row r="17" spans="1:8" x14ac:dyDescent="0.3">
      <c r="A17" s="3" t="s">
        <v>31</v>
      </c>
      <c r="B17" s="8">
        <v>0.09</v>
      </c>
      <c r="C17" s="8">
        <v>0.2</v>
      </c>
      <c r="D17" s="8">
        <v>0.02</v>
      </c>
      <c r="E17" s="8">
        <v>7.0000000000000007E-2</v>
      </c>
      <c r="F17" s="8">
        <v>5.0000000000000001E-3</v>
      </c>
      <c r="G17" s="8"/>
      <c r="H17" s="11">
        <v>11.4</v>
      </c>
    </row>
    <row r="18" spans="1:8" x14ac:dyDescent="0.3">
      <c r="A18" s="3" t="s">
        <v>32</v>
      </c>
      <c r="B18" s="8">
        <v>0.18</v>
      </c>
      <c r="C18" s="8">
        <v>0.3</v>
      </c>
      <c r="D18" s="8"/>
      <c r="E18" s="8">
        <v>7.0000000000000007E-2</v>
      </c>
      <c r="F18" s="8"/>
      <c r="G18" s="8"/>
      <c r="H18" s="11">
        <v>11.3</v>
      </c>
    </row>
    <row r="19" spans="1:8" x14ac:dyDescent="0.3">
      <c r="A19" s="3" t="s">
        <v>33</v>
      </c>
      <c r="B19" s="8">
        <v>0.1</v>
      </c>
      <c r="C19" s="8">
        <v>0.3</v>
      </c>
      <c r="D19" s="8"/>
      <c r="E19" s="8">
        <v>0.03</v>
      </c>
      <c r="F19" s="8"/>
      <c r="G19" s="8"/>
      <c r="H19" s="11">
        <v>11.7</v>
      </c>
    </row>
    <row r="20" spans="1:8" x14ac:dyDescent="0.3">
      <c r="A20" s="3" t="s">
        <v>83</v>
      </c>
      <c r="B20" s="8"/>
      <c r="C20" s="8"/>
      <c r="D20" s="8"/>
      <c r="E20" s="8"/>
      <c r="F20" s="8"/>
      <c r="G20" s="8">
        <v>0.1</v>
      </c>
      <c r="H20" s="11">
        <v>11.13</v>
      </c>
    </row>
    <row r="21" spans="1:8" x14ac:dyDescent="0.3">
      <c r="A21" s="3" t="s">
        <v>82</v>
      </c>
      <c r="B21" s="8">
        <v>0.16</v>
      </c>
      <c r="C21" s="8"/>
      <c r="D21" s="8"/>
      <c r="E21" s="8"/>
      <c r="F21" s="8">
        <v>0.2</v>
      </c>
      <c r="G21" s="8"/>
      <c r="H21" s="11">
        <v>11.4</v>
      </c>
    </row>
    <row r="22" spans="1:8" x14ac:dyDescent="0.3">
      <c r="A22" s="3" t="s">
        <v>86</v>
      </c>
      <c r="B22" s="8">
        <v>0.08</v>
      </c>
      <c r="C22" s="8">
        <v>0.21</v>
      </c>
      <c r="D22" s="8">
        <v>0.03</v>
      </c>
      <c r="E22" s="8">
        <v>2.3800000000000002E-2</v>
      </c>
      <c r="F22" s="8">
        <v>7.7000000000000002E-3</v>
      </c>
      <c r="G22" s="8"/>
      <c r="H22" s="11">
        <v>11.3</v>
      </c>
    </row>
    <row r="23" spans="1:8" x14ac:dyDescent="0.3">
      <c r="A23" s="3" t="s">
        <v>26</v>
      </c>
      <c r="B23" s="8">
        <v>0.11</v>
      </c>
      <c r="C23" s="8">
        <v>0.37</v>
      </c>
      <c r="D23" s="8"/>
      <c r="E23" s="8"/>
      <c r="F23" s="8"/>
      <c r="G23" s="8"/>
      <c r="H23" s="11">
        <v>12</v>
      </c>
    </row>
    <row r="24" spans="1:8" x14ac:dyDescent="0.3">
      <c r="A24" s="3" t="s">
        <v>34</v>
      </c>
      <c r="B24" s="8">
        <v>0.28000000000000003</v>
      </c>
      <c r="C24" s="8"/>
      <c r="D24" s="8"/>
      <c r="E24" s="8">
        <v>0.05</v>
      </c>
      <c r="F24" s="8"/>
      <c r="G24" s="8"/>
      <c r="H24" s="11">
        <v>10.76</v>
      </c>
    </row>
    <row r="25" spans="1:8" x14ac:dyDescent="0.3">
      <c r="A25" s="3"/>
    </row>
    <row r="26" spans="1:8" x14ac:dyDescent="0.3">
      <c r="A26" s="3"/>
    </row>
    <row r="27" spans="1:8" x14ac:dyDescent="0.3">
      <c r="A27" s="31" t="s">
        <v>11</v>
      </c>
      <c r="B27" s="31" t="s">
        <v>18</v>
      </c>
      <c r="C27" s="31" t="s">
        <v>3</v>
      </c>
      <c r="D27" s="31" t="s">
        <v>19</v>
      </c>
      <c r="E27" s="31" t="s">
        <v>20</v>
      </c>
      <c r="F27" s="31" t="s">
        <v>22</v>
      </c>
      <c r="G27" s="31" t="s">
        <v>68</v>
      </c>
      <c r="H27" s="31" t="s">
        <v>73</v>
      </c>
    </row>
    <row r="28" spans="1:8" x14ac:dyDescent="0.3">
      <c r="A28" s="5" t="s">
        <v>46</v>
      </c>
      <c r="B28" s="9">
        <v>0.46</v>
      </c>
      <c r="C28" s="9"/>
      <c r="D28" s="9"/>
      <c r="E28" s="9"/>
      <c r="F28" s="9"/>
      <c r="G28" s="40"/>
      <c r="H28" s="40"/>
    </row>
    <row r="29" spans="1:8" x14ac:dyDescent="0.3">
      <c r="A29" s="29" t="s">
        <v>50</v>
      </c>
      <c r="B29" s="10"/>
      <c r="C29" s="10"/>
      <c r="D29" s="10">
        <v>0.6</v>
      </c>
      <c r="E29" s="10"/>
      <c r="F29" s="10"/>
      <c r="G29" s="9"/>
      <c r="H29" s="9"/>
    </row>
    <row r="30" spans="1:8" x14ac:dyDescent="0.3">
      <c r="A30" s="30" t="s">
        <v>47</v>
      </c>
      <c r="B30" s="9">
        <v>0.18</v>
      </c>
      <c r="C30" s="9">
        <v>0.46</v>
      </c>
      <c r="D30" s="9"/>
      <c r="E30" s="9"/>
      <c r="F30" s="9"/>
      <c r="G30" s="9"/>
      <c r="H30" s="9"/>
    </row>
    <row r="31" spans="1:8" x14ac:dyDescent="0.3">
      <c r="A31" s="29" t="s">
        <v>48</v>
      </c>
      <c r="B31" s="10">
        <v>0.11</v>
      </c>
      <c r="C31" s="10">
        <v>0.52</v>
      </c>
      <c r="D31" s="10"/>
      <c r="E31" s="10"/>
      <c r="F31" s="10"/>
      <c r="G31" s="9"/>
      <c r="H31" s="9"/>
    </row>
    <row r="32" spans="1:8" x14ac:dyDescent="0.3">
      <c r="A32" s="32" t="s">
        <v>49</v>
      </c>
      <c r="B32" s="33">
        <v>0.21</v>
      </c>
      <c r="C32" s="33"/>
      <c r="D32" s="33"/>
      <c r="E32" s="33">
        <v>0.24</v>
      </c>
      <c r="F32" s="33"/>
      <c r="G32" s="9"/>
      <c r="H32" s="9"/>
    </row>
    <row r="33" spans="1:8" x14ac:dyDescent="0.3">
      <c r="A33" s="39" t="s">
        <v>66</v>
      </c>
      <c r="B33" s="33"/>
      <c r="C33" s="33"/>
      <c r="D33" s="33"/>
      <c r="E33" s="33"/>
      <c r="F33" s="33"/>
      <c r="G33" s="9">
        <v>0.15</v>
      </c>
      <c r="H33" s="9"/>
    </row>
    <row r="34" spans="1:8" x14ac:dyDescent="0.3">
      <c r="A34" s="39" t="s">
        <v>67</v>
      </c>
      <c r="B34" s="33"/>
      <c r="C34" s="33"/>
      <c r="D34" s="33"/>
      <c r="E34" s="33">
        <v>0.17499999999999999</v>
      </c>
      <c r="F34" s="33">
        <v>0.35499999999999998</v>
      </c>
      <c r="G34" s="33"/>
      <c r="H34" s="33"/>
    </row>
    <row r="35" spans="1:8" x14ac:dyDescent="0.3">
      <c r="A35" s="6"/>
      <c r="B35" s="10"/>
      <c r="C35" s="10"/>
      <c r="D35" s="10"/>
      <c r="E35" s="10"/>
      <c r="F35" s="10"/>
    </row>
    <row r="36" spans="1:8" x14ac:dyDescent="0.3">
      <c r="A36" s="6"/>
      <c r="B36" s="10"/>
      <c r="C36" s="10"/>
      <c r="D36" s="10"/>
      <c r="E36" s="10"/>
      <c r="F36" s="10"/>
    </row>
    <row r="37" spans="1:8" x14ac:dyDescent="0.3">
      <c r="A37" s="6"/>
      <c r="B37" s="10"/>
      <c r="C37" s="10"/>
      <c r="D37" s="10"/>
      <c r="E37" s="10"/>
      <c r="F37" s="10"/>
    </row>
    <row r="38" spans="1:8" x14ac:dyDescent="0.3">
      <c r="A38" s="6"/>
      <c r="B38" s="10"/>
      <c r="C38" s="10"/>
      <c r="D38" s="10"/>
      <c r="E38" s="10"/>
      <c r="F38" s="10"/>
    </row>
    <row r="39" spans="1:8" x14ac:dyDescent="0.3">
      <c r="A39" s="6"/>
      <c r="B39" s="10"/>
      <c r="C39" s="10"/>
      <c r="D39" s="10"/>
      <c r="E39" s="10"/>
      <c r="F39" s="10"/>
    </row>
    <row r="40" spans="1:8" x14ac:dyDescent="0.3">
      <c r="A40" s="6"/>
      <c r="B40" s="10"/>
      <c r="C40" s="10"/>
      <c r="D40" s="10"/>
      <c r="E40" s="10"/>
      <c r="F40" s="10"/>
    </row>
    <row r="41" spans="1:8" x14ac:dyDescent="0.3">
      <c r="A41" s="6"/>
      <c r="B41" s="10"/>
      <c r="C41" s="10"/>
      <c r="D41" s="10"/>
      <c r="E41" s="10"/>
      <c r="F41" s="10"/>
    </row>
    <row r="42" spans="1:8" x14ac:dyDescent="0.3">
      <c r="A42" s="6"/>
      <c r="B42" s="10"/>
      <c r="C42" s="10"/>
      <c r="D42" s="10"/>
      <c r="E42" s="10"/>
      <c r="F42" s="10"/>
    </row>
    <row r="43" spans="1:8" x14ac:dyDescent="0.3">
      <c r="A43" s="6"/>
      <c r="B43" s="10"/>
      <c r="C43" s="10"/>
      <c r="D43" s="10"/>
      <c r="E43" s="10"/>
      <c r="F43" s="10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900B-ED78-4A29-88A9-86BE84168E13}">
  <sheetPr>
    <tabColor rgb="FF00B050"/>
  </sheetPr>
  <dimension ref="A3:I34"/>
  <sheetViews>
    <sheetView topLeftCell="A17" zoomScale="150" zoomScaleNormal="150" workbookViewId="0">
      <selection activeCell="A31" sqref="A31:XFD31"/>
    </sheetView>
  </sheetViews>
  <sheetFormatPr defaultRowHeight="14.4" x14ac:dyDescent="0.3"/>
  <cols>
    <col min="1" max="1" width="24.109375" bestFit="1" customWidth="1"/>
    <col min="2" max="2" width="13.6640625" bestFit="1" customWidth="1"/>
    <col min="3" max="3" width="9.88671875" customWidth="1"/>
    <col min="4" max="5" width="9.5546875" customWidth="1"/>
    <col min="6" max="6" width="9.44140625" customWidth="1"/>
    <col min="7" max="7" width="10.5546875" customWidth="1"/>
  </cols>
  <sheetData>
    <row r="3" spans="1:9" ht="15.6" x14ac:dyDescent="0.3">
      <c r="B3" s="12"/>
      <c r="C3" s="12"/>
      <c r="D3" s="71" t="s">
        <v>7</v>
      </c>
      <c r="E3" s="71"/>
      <c r="F3" s="71" t="s">
        <v>9</v>
      </c>
      <c r="G3" s="71"/>
    </row>
    <row r="4" spans="1:9" ht="15.6" x14ac:dyDescent="0.3">
      <c r="B4" s="17" t="s">
        <v>0</v>
      </c>
      <c r="C4" s="17" t="s">
        <v>2</v>
      </c>
      <c r="D4" s="17" t="s">
        <v>3</v>
      </c>
      <c r="E4" s="17" t="s">
        <v>4</v>
      </c>
      <c r="F4" s="17" t="s">
        <v>6</v>
      </c>
      <c r="G4" s="17" t="s">
        <v>5</v>
      </c>
    </row>
    <row r="5" spans="1:9" ht="15.6" x14ac:dyDescent="0.3">
      <c r="B5" s="18">
        <v>225</v>
      </c>
      <c r="C5" s="19" t="s">
        <v>1</v>
      </c>
      <c r="D5" s="19">
        <v>0.35</v>
      </c>
      <c r="E5" s="19">
        <v>0.25</v>
      </c>
      <c r="F5" s="20">
        <f>B5*D5</f>
        <v>78.75</v>
      </c>
      <c r="G5" s="20">
        <f>B5*E5</f>
        <v>56.25</v>
      </c>
    </row>
    <row r="6" spans="1:9" ht="15.6" x14ac:dyDescent="0.3">
      <c r="B6" s="21">
        <v>60</v>
      </c>
      <c r="C6" s="22" t="s">
        <v>8</v>
      </c>
      <c r="D6" s="22">
        <v>0.8</v>
      </c>
      <c r="E6" s="22">
        <v>1.2</v>
      </c>
      <c r="F6" s="23">
        <f>B6*D6</f>
        <v>48</v>
      </c>
      <c r="G6" s="23">
        <f>B6*E6</f>
        <v>72</v>
      </c>
    </row>
    <row r="7" spans="1:9" ht="15.6" x14ac:dyDescent="0.3">
      <c r="C7" s="12"/>
      <c r="D7" s="24"/>
      <c r="E7" s="25"/>
      <c r="F7" s="25"/>
      <c r="G7" s="25"/>
      <c r="H7" s="25"/>
      <c r="I7" s="2"/>
    </row>
    <row r="8" spans="1:9" ht="15.6" x14ac:dyDescent="0.3">
      <c r="C8" s="12"/>
      <c r="D8" s="12"/>
      <c r="E8" s="12"/>
      <c r="F8" s="12"/>
      <c r="G8" s="12"/>
      <c r="H8" s="12"/>
    </row>
    <row r="9" spans="1:9" ht="15.6" x14ac:dyDescent="0.3">
      <c r="C9" s="12"/>
      <c r="D9" s="75" t="s">
        <v>37</v>
      </c>
      <c r="E9" s="75"/>
      <c r="F9" s="26">
        <v>17</v>
      </c>
      <c r="G9" s="12"/>
      <c r="H9" s="12"/>
    </row>
    <row r="10" spans="1:9" ht="15.6" x14ac:dyDescent="0.3">
      <c r="C10" s="12"/>
      <c r="D10" s="27"/>
      <c r="E10" s="27"/>
      <c r="F10" s="28"/>
      <c r="G10" s="12"/>
      <c r="H10" s="12"/>
    </row>
    <row r="11" spans="1:9" ht="15.6" x14ac:dyDescent="0.3">
      <c r="B11" s="74" t="s">
        <v>56</v>
      </c>
      <c r="C11" s="74"/>
      <c r="D11" s="74"/>
      <c r="E11" s="74"/>
      <c r="F11" s="74"/>
      <c r="G11" s="74"/>
      <c r="H11" s="12"/>
    </row>
    <row r="13" spans="1:9" ht="15.6" x14ac:dyDescent="0.3">
      <c r="B13" s="12" t="s">
        <v>53</v>
      </c>
      <c r="C13" s="13" t="s">
        <v>38</v>
      </c>
      <c r="D13" s="13" t="s">
        <v>39</v>
      </c>
      <c r="E13" s="12" t="s">
        <v>40</v>
      </c>
      <c r="F13" s="12" t="s">
        <v>41</v>
      </c>
      <c r="G13" s="12" t="s">
        <v>42</v>
      </c>
    </row>
    <row r="14" spans="1:9" ht="15.6" x14ac:dyDescent="0.3">
      <c r="A14" t="s">
        <v>57</v>
      </c>
      <c r="B14" s="14" t="s">
        <v>17</v>
      </c>
      <c r="C14" s="15">
        <f>IFERROR((VLOOKUP('Liquid Fertilizers'!B14,LiqDen[],2,FALSE))*$F$9*(VLOOKUP(B14,LiqDen[],7,FALSE)),0)</f>
        <v>0</v>
      </c>
      <c r="D14" s="15">
        <f>IFERROR((VLOOKUP('Liquid Fertilizers'!B14,LiqDen[],3,FALSE))*$F$9*(VLOOKUP(B14,LiqDen[],7,FALSE)),0)</f>
        <v>0</v>
      </c>
      <c r="E14" s="15">
        <f>IFERROR((VLOOKUP('Liquid Fertilizers'!B14,LiqDen[],4,FALSE))*$F$9*(VLOOKUP(B14,LiqDen[],7,FALSE)),0)</f>
        <v>0</v>
      </c>
      <c r="F14" s="15">
        <f>IFERROR((VLOOKUP('Liquid Fertilizers'!B14,LiqDen[],5,FALSE))*$F$9*(VLOOKUP(B14,LiqDen[],7,FALSE)),0)</f>
        <v>0</v>
      </c>
      <c r="G14" s="15">
        <f>IFERROR((VLOOKUP('Liquid Fertilizers'!B14,LiqDen[],6,FALSE))*$F$9*(VLOOKUP(B14,LiqDen[],7,FALSE)),0)</f>
        <v>0</v>
      </c>
    </row>
    <row r="15" spans="1:9" ht="15.6" x14ac:dyDescent="0.3">
      <c r="A15" t="s">
        <v>58</v>
      </c>
      <c r="B15" s="16" t="s">
        <v>16</v>
      </c>
      <c r="C15" s="15">
        <f>IFERROR((VLOOKUP('Liquid Fertilizers'!B15,LiqDen[],2,FALSE))*$F$9*(VLOOKUP(B15,LiqDen[],7,FALSE)),0)</f>
        <v>0</v>
      </c>
      <c r="D15" s="15">
        <f>IFERROR((VLOOKUP('Liquid Fertilizers'!B15,LiqDen[],3,FALSE))*$F$9*(VLOOKUP(B15,LiqDen[],7,FALSE)),0)</f>
        <v>0</v>
      </c>
      <c r="E15" s="15">
        <f>IFERROR((VLOOKUP('Liquid Fertilizers'!B15,LiqDen[],4,FALSE))*$F$9*(VLOOKUP(B15,LiqDen[],7,FALSE)),0)</f>
        <v>0</v>
      </c>
      <c r="F15" s="15">
        <f>IFERROR((VLOOKUP('Liquid Fertilizers'!B15,LiqDen[],5,FALSE))*$F$9*(VLOOKUP(B15,LiqDen[],7,FALSE)),0)</f>
        <v>0</v>
      </c>
      <c r="G15" s="15">
        <f>IFERROR((VLOOKUP('Liquid Fertilizers'!B15,LiqDen[],6,FALSE))*$F$9*(VLOOKUP(B15,LiqDen[],7,FALSE)),0)</f>
        <v>0</v>
      </c>
    </row>
    <row r="16" spans="1:9" ht="15.6" x14ac:dyDescent="0.3">
      <c r="A16" t="s">
        <v>59</v>
      </c>
      <c r="B16" s="16" t="s">
        <v>14</v>
      </c>
      <c r="C16" s="15">
        <f>IFERROR((VLOOKUP('Liquid Fertilizers'!B16,LiqDen[],2,FALSE))*$F$9*(VLOOKUP(B16,LiqDen[],7,FALSE)),0)</f>
        <v>0</v>
      </c>
      <c r="D16" s="15">
        <f>IFERROR((VLOOKUP('Liquid Fertilizers'!B16,LiqDen[],3,FALSE))*$F$9*(VLOOKUP(B16,LiqDen[],7,FALSE)),0)</f>
        <v>0</v>
      </c>
      <c r="E16" s="15">
        <f>IFERROR((VLOOKUP('Liquid Fertilizers'!B16,LiqDen[],4,FALSE))*$F$9*(VLOOKUP(B16,LiqDen[],7,FALSE)),0)</f>
        <v>0</v>
      </c>
      <c r="F16" s="15">
        <f>IFERROR((VLOOKUP('Liquid Fertilizers'!B16,LiqDen[],5,FALSE))*$F$9*(VLOOKUP(B16,LiqDen[],7,FALSE)),0)</f>
        <v>0</v>
      </c>
      <c r="G16" s="15">
        <f>IFERROR((VLOOKUP('Liquid Fertilizers'!B16,LiqDen[],6,FALSE))*$F$9*(VLOOKUP(B16,LiqDen[],7,FALSE)),0)</f>
        <v>0</v>
      </c>
    </row>
    <row r="17" spans="1:7" ht="15.6" x14ac:dyDescent="0.3">
      <c r="B17" s="16" t="s">
        <v>23</v>
      </c>
      <c r="C17" s="15">
        <f>IFERROR((VLOOKUP('Liquid Fertilizers'!B17,LiqDen[],2,FALSE))*$F$9*(VLOOKUP(B17,LiqDen[],7,FALSE)),0)</f>
        <v>0</v>
      </c>
      <c r="D17" s="15">
        <f>IFERROR((VLOOKUP('Liquid Fertilizers'!B17,LiqDen[],3,FALSE))*$F$9*(VLOOKUP(B17,LiqDen[],7,FALSE)),0)</f>
        <v>0</v>
      </c>
      <c r="E17" s="15">
        <f>IFERROR((VLOOKUP('Liquid Fertilizers'!B17,LiqDen[],4,FALSE))*$F$9*(VLOOKUP(B17,LiqDen[],7,FALSE)),0)</f>
        <v>0</v>
      </c>
      <c r="F17" s="15">
        <f>IFERROR((VLOOKUP('Liquid Fertilizers'!B17,LiqDen[],5,FALSE))*$F$9*(VLOOKUP(B17,LiqDen[],7,FALSE)),0)</f>
        <v>0</v>
      </c>
      <c r="G17" s="15">
        <f>IFERROR((VLOOKUP('Liquid Fertilizers'!B17,LiqDen[],6,FALSE))*$F$9*(VLOOKUP(B17,LiqDen[],7,FALSE)),0)</f>
        <v>0</v>
      </c>
    </row>
    <row r="18" spans="1:7" ht="15.6" x14ac:dyDescent="0.3">
      <c r="B18" s="16" t="s">
        <v>24</v>
      </c>
      <c r="C18" s="15">
        <f>IFERROR((VLOOKUP('Liquid Fertilizers'!B18,LiqDen[],2,FALSE))*$F$9*(VLOOKUP(B18,LiqDen[],7,FALSE)),0)</f>
        <v>0</v>
      </c>
      <c r="D18" s="15">
        <f>IFERROR((VLOOKUP('Liquid Fertilizers'!B18,LiqDen[],3,FALSE))*$F$9*(VLOOKUP(B18,LiqDen[],7,FALSE)),0)</f>
        <v>0</v>
      </c>
      <c r="E18" s="15">
        <f>IFERROR((VLOOKUP('Liquid Fertilizers'!B18,LiqDen[],4,FALSE))*$F$9*(VLOOKUP(B18,LiqDen[],7,FALSE)),0)</f>
        <v>0</v>
      </c>
      <c r="F18" s="15">
        <f>IFERROR((VLOOKUP('Liquid Fertilizers'!B18,LiqDen[],5,FALSE))*$F$9*(VLOOKUP(B18,LiqDen[],7,FALSE)),0)</f>
        <v>0</v>
      </c>
      <c r="G18" s="15">
        <f>IFERROR((VLOOKUP('Liquid Fertilizers'!B18,LiqDen[],6,FALSE))*$F$9*(VLOOKUP(B18,LiqDen[],7,FALSE)),0)</f>
        <v>0</v>
      </c>
    </row>
    <row r="19" spans="1:7" ht="15.6" x14ac:dyDescent="0.3">
      <c r="B19" s="16" t="s">
        <v>25</v>
      </c>
      <c r="C19" s="15">
        <f>IFERROR((VLOOKUP('Liquid Fertilizers'!B19,LiqDen[],2,FALSE))*$F$9*(VLOOKUP(B19,LiqDen[],7,FALSE)),0)</f>
        <v>0</v>
      </c>
      <c r="D19" s="15">
        <f>IFERROR((VLOOKUP('Liquid Fertilizers'!B19,LiqDen[],3,FALSE))*$F$9*(VLOOKUP(B19,LiqDen[],7,FALSE)),0)</f>
        <v>0</v>
      </c>
      <c r="E19" s="15">
        <f>IFERROR((VLOOKUP('Liquid Fertilizers'!B19,LiqDen[],4,FALSE))*$F$9*(VLOOKUP(B19,LiqDen[],7,FALSE)),0)</f>
        <v>0</v>
      </c>
      <c r="F19" s="15">
        <f>IFERROR((VLOOKUP('Liquid Fertilizers'!B19,LiqDen[],5,FALSE))*$F$9*(VLOOKUP(B19,LiqDen[],7,FALSE)),0)</f>
        <v>0</v>
      </c>
      <c r="G19" s="15">
        <f>IFERROR((VLOOKUP('Liquid Fertilizers'!B19,LiqDen[],6,FALSE))*$F$9*(VLOOKUP(B19,LiqDen[],7,FALSE)),0)</f>
        <v>0</v>
      </c>
    </row>
    <row r="20" spans="1:7" ht="15.6" x14ac:dyDescent="0.3">
      <c r="A20" t="s">
        <v>64</v>
      </c>
      <c r="B20" s="16" t="s">
        <v>12</v>
      </c>
      <c r="C20" s="15">
        <f>IFERROR((VLOOKUP('Liquid Fertilizers'!B20,LiqDen[],2,FALSE))*$F$9*(VLOOKUP(B20,LiqDen[],7,FALSE)),0)</f>
        <v>0</v>
      </c>
      <c r="D20" s="15">
        <f>IFERROR((VLOOKUP('Liquid Fertilizers'!B20,LiqDen[],3,FALSE))*$F$9*(VLOOKUP(B20,LiqDen[],7,FALSE)),0)</f>
        <v>0</v>
      </c>
      <c r="E20" s="15">
        <f>IFERROR((VLOOKUP('Liquid Fertilizers'!B20,LiqDen[],4,FALSE))*$F$9*(VLOOKUP(B20,LiqDen[],7,FALSE)),0)</f>
        <v>0</v>
      </c>
      <c r="F20" s="15">
        <f>IFERROR((VLOOKUP('Liquid Fertilizers'!B20,LiqDen[],5,FALSE))*$F$9*(VLOOKUP(B20,LiqDen[],7,FALSE)),0)</f>
        <v>0</v>
      </c>
      <c r="G20" s="15">
        <f>IFERROR((VLOOKUP('Liquid Fertilizers'!B20,LiqDen[],6,FALSE))*$F$9*(VLOOKUP(B20,LiqDen[],7,FALSE)),0)</f>
        <v>0</v>
      </c>
    </row>
    <row r="21" spans="1:7" ht="15.6" x14ac:dyDescent="0.3">
      <c r="A21" t="s">
        <v>64</v>
      </c>
      <c r="B21" s="16" t="s">
        <v>26</v>
      </c>
      <c r="C21" s="15">
        <f>IFERROR((VLOOKUP('Liquid Fertilizers'!B21,LiqDen[],2,FALSE))*$F$9*(VLOOKUP(B21,LiqDen[],7,FALSE)),0)</f>
        <v>0</v>
      </c>
      <c r="D21" s="15">
        <f>IFERROR((VLOOKUP('Liquid Fertilizers'!B21,LiqDen[],3,FALSE))*$F$9*(VLOOKUP(B21,LiqDen[],7,FALSE)),0)</f>
        <v>0</v>
      </c>
      <c r="E21" s="15">
        <f>IFERROR((VLOOKUP('Liquid Fertilizers'!B21,LiqDen[],4,FALSE))*$F$9*(VLOOKUP(B21,LiqDen[],7,FALSE)),0)</f>
        <v>0</v>
      </c>
      <c r="F21" s="15">
        <f>IFERROR((VLOOKUP('Liquid Fertilizers'!B21,LiqDen[],5,FALSE))*$F$9*(VLOOKUP(B21,LiqDen[],7,FALSE)),0)</f>
        <v>0</v>
      </c>
      <c r="G21" s="15">
        <f>IFERROR((VLOOKUP('Liquid Fertilizers'!B21,LiqDen[],6,FALSE))*$F$9*(VLOOKUP(B21,LiqDen[],7,FALSE)),0)</f>
        <v>0</v>
      </c>
    </row>
    <row r="22" spans="1:7" ht="15.6" x14ac:dyDescent="0.3">
      <c r="A22" t="s">
        <v>65</v>
      </c>
      <c r="B22" s="16" t="s">
        <v>43</v>
      </c>
      <c r="C22" s="15">
        <f>IFERROR((VLOOKUP('Liquid Fertilizers'!B22,LiqDen[],2,FALSE))*$F$9*(VLOOKUP(B22,LiqDen[],7,FALSE)),0)</f>
        <v>0</v>
      </c>
      <c r="D22" s="15">
        <f>IFERROR((VLOOKUP('Liquid Fertilizers'!B22,LiqDen[],3,FALSE))*$F$9*(VLOOKUP(B22,LiqDen[],7,FALSE)),0)</f>
        <v>0</v>
      </c>
      <c r="E22" s="15">
        <f>IFERROR((VLOOKUP('Liquid Fertilizers'!B22,LiqDen[],4,FALSE))*$F$9*(VLOOKUP(B22,LiqDen[],7,FALSE)),0)</f>
        <v>0</v>
      </c>
      <c r="F22" s="15">
        <f>IFERROR((VLOOKUP('Liquid Fertilizers'!B22,LiqDen[],5,FALSE))*$F$9*(VLOOKUP(B22,LiqDen[],7,FALSE)),0)</f>
        <v>0</v>
      </c>
      <c r="G22" s="15">
        <f>IFERROR((VLOOKUP('Liquid Fertilizers'!B22,LiqDen[],6,FALSE))*$F$9*(VLOOKUP(B22,LiqDen[],7,FALSE)),0)</f>
        <v>0</v>
      </c>
    </row>
    <row r="23" spans="1:7" ht="15.6" x14ac:dyDescent="0.3">
      <c r="B23" s="16" t="s">
        <v>27</v>
      </c>
      <c r="C23" s="15">
        <f>IFERROR((VLOOKUP('Liquid Fertilizers'!B23,LiqDen[],2,FALSE))*$F$9*(VLOOKUP(B23,LiqDen[],7,FALSE)),0)</f>
        <v>0</v>
      </c>
      <c r="D23" s="15">
        <f>IFERROR((VLOOKUP('Liquid Fertilizers'!B23,LiqDen[],3,FALSE))*$F$9*(VLOOKUP(B23,LiqDen[],7,FALSE)),0)</f>
        <v>0</v>
      </c>
      <c r="E23" s="15">
        <f>IFERROR((VLOOKUP('Liquid Fertilizers'!B23,LiqDen[],4,FALSE))*$F$9*(VLOOKUP(B23,LiqDen[],7,FALSE)),0)</f>
        <v>0</v>
      </c>
      <c r="F23" s="15">
        <f>IFERROR((VLOOKUP('Liquid Fertilizers'!B23,LiqDen[],5,FALSE))*$F$9*(VLOOKUP(B23,LiqDen[],7,FALSE)),0)</f>
        <v>0</v>
      </c>
      <c r="G23" s="15">
        <f>IFERROR((VLOOKUP('Liquid Fertilizers'!B23,LiqDen[],6,FALSE))*$F$9*(VLOOKUP(B23,LiqDen[],7,FALSE)),0)</f>
        <v>0</v>
      </c>
    </row>
    <row r="24" spans="1:7" ht="15.6" x14ac:dyDescent="0.3">
      <c r="B24" s="16" t="s">
        <v>13</v>
      </c>
      <c r="C24" s="15">
        <f>IFERROR((VLOOKUP('Liquid Fertilizers'!B24,LiqDen[],2,FALSE))*$F$9*(VLOOKUP(B24,LiqDen[],7,FALSE)),0)</f>
        <v>0</v>
      </c>
      <c r="D24" s="15">
        <f>IFERROR((VLOOKUP('Liquid Fertilizers'!B24,LiqDen[],3,FALSE))*$F$9*(VLOOKUP(B24,LiqDen[],7,FALSE)),0)</f>
        <v>0</v>
      </c>
      <c r="E24" s="15">
        <f>IFERROR((VLOOKUP('Liquid Fertilizers'!B24,LiqDen[],4,FALSE))*$F$9*(VLOOKUP(B24,LiqDen[],7,FALSE)),0)</f>
        <v>0</v>
      </c>
      <c r="F24" s="15">
        <f>IFERROR((VLOOKUP('Liquid Fertilizers'!B24,LiqDen[],5,FALSE))*$F$9*(VLOOKUP(B24,LiqDen[],7,FALSE)),0)</f>
        <v>0</v>
      </c>
      <c r="G24" s="15">
        <f>IFERROR((VLOOKUP('Liquid Fertilizers'!B24,LiqDen[],6,FALSE))*$F$9*(VLOOKUP(B24,LiqDen[],7,FALSE)),0)</f>
        <v>0</v>
      </c>
    </row>
    <row r="25" spans="1:7" ht="15.6" x14ac:dyDescent="0.3">
      <c r="B25" s="16" t="s">
        <v>28</v>
      </c>
      <c r="C25" s="15">
        <f>IFERROR((VLOOKUP('Liquid Fertilizers'!B25,LiqDen[],2,FALSE))*$F$9*(VLOOKUP(B25,LiqDen[],7,FALSE)),0)</f>
        <v>0</v>
      </c>
      <c r="D25" s="15">
        <f>IFERROR((VLOOKUP('Liquid Fertilizers'!B25,LiqDen[],3,FALSE))*$F$9*(VLOOKUP(B25,LiqDen[],7,FALSE)),0)</f>
        <v>0</v>
      </c>
      <c r="E25" s="15">
        <f>IFERROR((VLOOKUP('Liquid Fertilizers'!B25,LiqDen[],4,FALSE))*$F$9*(VLOOKUP(B25,LiqDen[],7,FALSE)),0)</f>
        <v>0</v>
      </c>
      <c r="F25" s="15">
        <f>IFERROR((VLOOKUP('Liquid Fertilizers'!B25,LiqDen[],5,FALSE))*$F$9*(VLOOKUP(B25,LiqDen[],7,FALSE)),0)</f>
        <v>0</v>
      </c>
      <c r="G25" s="15">
        <f>IFERROR((VLOOKUP('Liquid Fertilizers'!B25,LiqDen[],6,FALSE))*$F$9*(VLOOKUP(B25,LiqDen[],7,FALSE)),0)</f>
        <v>0</v>
      </c>
    </row>
    <row r="26" spans="1:7" ht="15.6" x14ac:dyDescent="0.3">
      <c r="B26" s="16" t="s">
        <v>29</v>
      </c>
      <c r="C26" s="15">
        <f>IFERROR((VLOOKUP('Liquid Fertilizers'!B26,LiqDen[],2,FALSE))*$F$9*(VLOOKUP(B26,LiqDen[],7,FALSE)),0)</f>
        <v>0</v>
      </c>
      <c r="D26" s="15">
        <f>IFERROR((VLOOKUP('Liquid Fertilizers'!B26,LiqDen[],3,FALSE))*$F$9*(VLOOKUP(B26,LiqDen[],7,FALSE)),0)</f>
        <v>0</v>
      </c>
      <c r="E26" s="15">
        <f>IFERROR((VLOOKUP('Liquid Fertilizers'!B26,LiqDen[],4,FALSE))*$F$9*(VLOOKUP(B26,LiqDen[],7,FALSE)),0)</f>
        <v>0</v>
      </c>
      <c r="F26" s="15">
        <f>IFERROR((VLOOKUP('Liquid Fertilizers'!B26,LiqDen[],5,FALSE))*$F$9*(VLOOKUP(B26,LiqDen[],7,FALSE)),0)</f>
        <v>0</v>
      </c>
      <c r="G26" s="15">
        <f>IFERROR((VLOOKUP('Liquid Fertilizers'!B26,LiqDen[],6,FALSE))*$F$9*(VLOOKUP(B26,LiqDen[],7,FALSE)),0)</f>
        <v>0</v>
      </c>
    </row>
    <row r="27" spans="1:7" ht="15.6" x14ac:dyDescent="0.3">
      <c r="B27" s="16" t="s">
        <v>30</v>
      </c>
      <c r="C27" s="15">
        <f>IFERROR((VLOOKUP('Liquid Fertilizers'!B27,LiqDen[],2,FALSE))*$F$9*(VLOOKUP(B27,LiqDen[],7,FALSE)),0)</f>
        <v>0</v>
      </c>
      <c r="D27" s="15">
        <f>IFERROR((VLOOKUP('Liquid Fertilizers'!B27,LiqDen[],3,FALSE))*$F$9*(VLOOKUP(B27,LiqDen[],7,FALSE)),0)</f>
        <v>0</v>
      </c>
      <c r="E27" s="15">
        <f>IFERROR((VLOOKUP('Liquid Fertilizers'!B27,LiqDen[],4,FALSE))*$F$9*(VLOOKUP(B27,LiqDen[],7,FALSE)),0)</f>
        <v>0</v>
      </c>
      <c r="F27" s="15">
        <f>IFERROR((VLOOKUP('Liquid Fertilizers'!B27,LiqDen[],5,FALSE))*$F$9*(VLOOKUP(B27,LiqDen[],7,FALSE)),0)</f>
        <v>0</v>
      </c>
      <c r="G27" s="15">
        <f>IFERROR((VLOOKUP('Liquid Fertilizers'!B27,LiqDen[],6,FALSE))*$F$9*(VLOOKUP(B27,LiqDen[],7,FALSE)),0)</f>
        <v>0</v>
      </c>
    </row>
    <row r="28" spans="1:7" ht="15.6" x14ac:dyDescent="0.3">
      <c r="B28" s="16" t="s">
        <v>31</v>
      </c>
      <c r="C28" s="15">
        <f>IFERROR((VLOOKUP('Liquid Fertilizers'!B28,LiqDen[],2,FALSE))*$F$9*(VLOOKUP(B28,LiqDen[],7,FALSE)),0)</f>
        <v>0</v>
      </c>
      <c r="D28" s="15">
        <f>IFERROR((VLOOKUP('Liquid Fertilizers'!B28,LiqDen[],3,FALSE))*$F$9*(VLOOKUP(B28,LiqDen[],7,FALSE)),0)</f>
        <v>0</v>
      </c>
      <c r="E28" s="15">
        <f>IFERROR((VLOOKUP('Liquid Fertilizers'!B28,LiqDen[],4,FALSE))*$F$9*(VLOOKUP(B28,LiqDen[],7,FALSE)),0)</f>
        <v>0</v>
      </c>
      <c r="F28" s="15">
        <f>IFERROR((VLOOKUP('Liquid Fertilizers'!B28,LiqDen[],5,FALSE))*$F$9*(VLOOKUP(B28,LiqDen[],7,FALSE)),0)</f>
        <v>0</v>
      </c>
      <c r="G28" s="15">
        <f>IFERROR((VLOOKUP('Liquid Fertilizers'!B28,LiqDen[],6,FALSE))*$F$9*(VLOOKUP(B28,LiqDen[],7,FALSE)),0)</f>
        <v>0</v>
      </c>
    </row>
    <row r="29" spans="1:7" ht="15.6" x14ac:dyDescent="0.3">
      <c r="B29" s="16" t="s">
        <v>32</v>
      </c>
      <c r="C29" s="15">
        <f>IFERROR((VLOOKUP('Liquid Fertilizers'!B29,LiqDen[],2,FALSE))*$F$9*(VLOOKUP(B29,LiqDen[],7,FALSE)),0)</f>
        <v>0</v>
      </c>
      <c r="D29" s="15">
        <f>IFERROR((VLOOKUP('Liquid Fertilizers'!B29,LiqDen[],3,FALSE))*$F$9*(VLOOKUP(B29,LiqDen[],7,FALSE)),0)</f>
        <v>0</v>
      </c>
      <c r="E29" s="15">
        <f>IFERROR((VLOOKUP('Liquid Fertilizers'!B29,LiqDen[],4,FALSE))*$F$9*(VLOOKUP(B29,LiqDen[],7,FALSE)),0)</f>
        <v>0</v>
      </c>
      <c r="F29" s="15">
        <f>IFERROR((VLOOKUP('Liquid Fertilizers'!B29,LiqDen[],5,FALSE))*$F$9*(VLOOKUP(B29,LiqDen[],7,FALSE)),0)</f>
        <v>0</v>
      </c>
      <c r="G29" s="15">
        <f>IFERROR((VLOOKUP('Liquid Fertilizers'!B29,LiqDen[],6,FALSE))*$F$9*(VLOOKUP(B29,LiqDen[],7,FALSE)),0)</f>
        <v>0</v>
      </c>
    </row>
    <row r="30" spans="1:7" ht="15.6" x14ac:dyDescent="0.3">
      <c r="B30" s="16" t="s">
        <v>33</v>
      </c>
      <c r="C30" s="15">
        <f>IFERROR((VLOOKUP('Liquid Fertilizers'!B30,LiqDen[],2,FALSE))*$F$9*(VLOOKUP(B30,LiqDen[],7,FALSE)),0)</f>
        <v>0</v>
      </c>
      <c r="D30" s="15">
        <f>IFERROR((VLOOKUP('Liquid Fertilizers'!B30,LiqDen[],3,FALSE))*$F$9*(VLOOKUP(B30,LiqDen[],7,FALSE)),0)</f>
        <v>0</v>
      </c>
      <c r="E30" s="15">
        <f>IFERROR((VLOOKUP('Liquid Fertilizers'!B30,LiqDen[],4,FALSE))*$F$9*(VLOOKUP(B30,LiqDen[],7,FALSE)),0)</f>
        <v>0</v>
      </c>
      <c r="F30" s="15">
        <f>IFERROR((VLOOKUP('Liquid Fertilizers'!B30,LiqDen[],5,FALSE))*$F$9*(VLOOKUP(B30,LiqDen[],7,FALSE)),0)</f>
        <v>0</v>
      </c>
      <c r="G30" s="15">
        <f>IFERROR((VLOOKUP('Liquid Fertilizers'!B30,LiqDen[],6,FALSE))*$F$9*(VLOOKUP(B30,LiqDen[],7,FALSE)),0)</f>
        <v>0</v>
      </c>
    </row>
    <row r="31" spans="1:7" ht="15.6" x14ac:dyDescent="0.3">
      <c r="B31" s="16" t="s">
        <v>34</v>
      </c>
      <c r="C31" s="15">
        <f>IFERROR((VLOOKUP('Liquid Fertilizers'!B31,LiqDen[],2,FALSE))*$F$9*(VLOOKUP(B31,LiqDen[],7,FALSE)),0)</f>
        <v>0</v>
      </c>
      <c r="D31" s="15">
        <f>IFERROR((VLOOKUP('Liquid Fertilizers'!B31,LiqDen[],3,FALSE))*$F$9*(VLOOKUP(B31,LiqDen[],7,FALSE)),0)</f>
        <v>0</v>
      </c>
      <c r="E31" s="15">
        <f>IFERROR((VLOOKUP('Liquid Fertilizers'!B31,LiqDen[],4,FALSE))*$F$9*(VLOOKUP(B31,LiqDen[],7,FALSE)),0)</f>
        <v>0</v>
      </c>
      <c r="F31" s="15">
        <f>IFERROR((VLOOKUP('Liquid Fertilizers'!B31,LiqDen[],5,FALSE))*$F$9*(VLOOKUP(B31,LiqDen[],7,FALSE)),0)</f>
        <v>0</v>
      </c>
      <c r="G31" s="15">
        <f>IFERROR((VLOOKUP('Liquid Fertilizers'!B31,LiqDen[],6,FALSE))*$F$9*(VLOOKUP(B31,LiqDen[],7,FALSE)),0)</f>
        <v>0</v>
      </c>
    </row>
    <row r="34" spans="2:2" x14ac:dyDescent="0.3">
      <c r="B34" t="s">
        <v>44</v>
      </c>
    </row>
  </sheetData>
  <mergeCells count="4">
    <mergeCell ref="B11:G11"/>
    <mergeCell ref="D9:E9"/>
    <mergeCell ref="D3:E3"/>
    <mergeCell ref="F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2727-AB89-45A4-A019-6A687E2D3E1A}">
  <sheetPr>
    <tabColor rgb="FFFFC000"/>
  </sheetPr>
  <dimension ref="A3:I20"/>
  <sheetViews>
    <sheetView topLeftCell="A7" zoomScale="140" zoomScaleNormal="140" workbookViewId="0">
      <selection activeCell="B14" sqref="B14"/>
    </sheetView>
  </sheetViews>
  <sheetFormatPr defaultRowHeight="14.4" x14ac:dyDescent="0.3"/>
  <cols>
    <col min="1" max="1" width="17.33203125" bestFit="1" customWidth="1"/>
    <col min="2" max="2" width="13.6640625" bestFit="1" customWidth="1"/>
    <col min="3" max="3" width="9.88671875" customWidth="1"/>
    <col min="4" max="5" width="9.5546875" customWidth="1"/>
    <col min="6" max="6" width="9.44140625" customWidth="1"/>
    <col min="7" max="7" width="10.5546875" customWidth="1"/>
  </cols>
  <sheetData>
    <row r="3" spans="1:9" ht="15.6" x14ac:dyDescent="0.3">
      <c r="B3" s="12"/>
      <c r="C3" s="12"/>
      <c r="D3" s="71" t="s">
        <v>7</v>
      </c>
      <c r="E3" s="71"/>
      <c r="F3" s="71" t="s">
        <v>9</v>
      </c>
      <c r="G3" s="71"/>
    </row>
    <row r="4" spans="1:9" ht="15.6" x14ac:dyDescent="0.3">
      <c r="B4" s="17" t="s">
        <v>0</v>
      </c>
      <c r="C4" s="17" t="s">
        <v>2</v>
      </c>
      <c r="D4" s="17" t="s">
        <v>3</v>
      </c>
      <c r="E4" s="17" t="s">
        <v>4</v>
      </c>
      <c r="F4" s="17" t="s">
        <v>6</v>
      </c>
      <c r="G4" s="17" t="s">
        <v>5</v>
      </c>
    </row>
    <row r="5" spans="1:9" ht="15.6" x14ac:dyDescent="0.3">
      <c r="B5" s="18">
        <v>240</v>
      </c>
      <c r="C5" s="19" t="s">
        <v>1</v>
      </c>
      <c r="D5" s="19">
        <v>0.35</v>
      </c>
      <c r="E5" s="19">
        <v>0.25</v>
      </c>
      <c r="F5" s="20">
        <f>B5*D5</f>
        <v>84</v>
      </c>
      <c r="G5" s="20">
        <f>B5*E5</f>
        <v>60</v>
      </c>
    </row>
    <row r="6" spans="1:9" ht="15.6" x14ac:dyDescent="0.3">
      <c r="B6" s="21">
        <v>65</v>
      </c>
      <c r="C6" s="22" t="s">
        <v>8</v>
      </c>
      <c r="D6" s="22">
        <v>0.8</v>
      </c>
      <c r="E6" s="22">
        <v>1.2</v>
      </c>
      <c r="F6" s="23">
        <f>B6*D6</f>
        <v>52</v>
      </c>
      <c r="G6" s="23">
        <f>B6*E6</f>
        <v>78</v>
      </c>
    </row>
    <row r="7" spans="1:9" ht="15.6" x14ac:dyDescent="0.3">
      <c r="C7" s="12"/>
      <c r="D7" s="24"/>
      <c r="E7" s="25"/>
      <c r="F7" s="25"/>
      <c r="G7" s="25"/>
      <c r="H7" s="25"/>
      <c r="I7" s="2"/>
    </row>
    <row r="8" spans="1:9" ht="15.6" x14ac:dyDescent="0.3">
      <c r="C8" s="12"/>
      <c r="D8" s="12"/>
      <c r="E8" s="12"/>
      <c r="F8" s="12"/>
      <c r="G8" s="12"/>
      <c r="H8" s="12"/>
    </row>
    <row r="9" spans="1:9" ht="15.6" x14ac:dyDescent="0.3">
      <c r="C9" s="12"/>
      <c r="D9" s="75" t="s">
        <v>45</v>
      </c>
      <c r="E9" s="75"/>
      <c r="F9" s="26">
        <v>110</v>
      </c>
      <c r="G9" s="12"/>
      <c r="H9" s="12"/>
    </row>
    <row r="10" spans="1:9" ht="15.6" x14ac:dyDescent="0.3">
      <c r="C10" s="12"/>
      <c r="D10" s="27"/>
      <c r="E10" s="27"/>
      <c r="F10" s="28"/>
      <c r="G10" s="12"/>
      <c r="H10" s="12"/>
    </row>
    <row r="11" spans="1:9" ht="15.6" x14ac:dyDescent="0.3">
      <c r="B11" s="74" t="s">
        <v>51</v>
      </c>
      <c r="C11" s="74"/>
      <c r="D11" s="74"/>
      <c r="E11" s="74"/>
      <c r="F11" s="74"/>
      <c r="G11" s="74"/>
      <c r="H11" s="12"/>
    </row>
    <row r="13" spans="1:9" ht="15.6" x14ac:dyDescent="0.3">
      <c r="B13" s="12" t="s">
        <v>36</v>
      </c>
      <c r="C13" s="13" t="s">
        <v>38</v>
      </c>
      <c r="D13" s="13" t="s">
        <v>39</v>
      </c>
      <c r="E13" s="12" t="s">
        <v>40</v>
      </c>
      <c r="F13" s="12" t="s">
        <v>41</v>
      </c>
      <c r="G13" s="12" t="s">
        <v>42</v>
      </c>
    </row>
    <row r="14" spans="1:9" ht="15.6" x14ac:dyDescent="0.3">
      <c r="A14" t="s">
        <v>57</v>
      </c>
      <c r="B14" s="4" t="s">
        <v>46</v>
      </c>
      <c r="C14" s="15">
        <f>IFERROR((VLOOKUP(DryFert[[#This Row],[Proucts]],DryDen[],2,FALSE))*$F$9,0)</f>
        <v>50.6</v>
      </c>
      <c r="D14" s="15">
        <f>IFERROR((VLOOKUP(DryFert[[#This Row],[Proucts]],DryDen[],3,FALSE))*$F$9,0)</f>
        <v>0</v>
      </c>
      <c r="E14" s="15">
        <f>IFERROR((VLOOKUP(DryFert[[#This Row],[Proucts]],DryDen[],4,FALSE))*$F$9,0)</f>
        <v>0</v>
      </c>
      <c r="F14" s="15">
        <f>IFERROR((VLOOKUP(DryFert[[#This Row],[Proucts]],DryDen[],5,FALSE))*$F$9,0)</f>
        <v>0</v>
      </c>
      <c r="G14" s="15">
        <f>IFERROR((VLOOKUP(DryFert[[#This Row],[Proucts]],DryDen[],6,FALSE))*$F$9,0)</f>
        <v>0</v>
      </c>
    </row>
    <row r="15" spans="1:9" ht="15.6" x14ac:dyDescent="0.3">
      <c r="A15" t="s">
        <v>60</v>
      </c>
      <c r="B15" s="6" t="s">
        <v>50</v>
      </c>
      <c r="C15" s="15">
        <f>IFERROR((VLOOKUP(DryFert[[#This Row],[Proucts]],DryDen[],2,FALSE))*$F$9,0)</f>
        <v>0</v>
      </c>
      <c r="D15" s="15">
        <f>IFERROR((VLOOKUP(DryFert[[#This Row],[Proucts]],DryDen[],3,FALSE))*$F$9,0)</f>
        <v>0</v>
      </c>
      <c r="E15" s="15">
        <f>IFERROR((VLOOKUP(DryFert[[#This Row],[Proucts]],DryDen[],4,FALSE))*$F$9,0)</f>
        <v>66</v>
      </c>
      <c r="F15" s="15">
        <f>IFERROR((VLOOKUP(DryFert[[#This Row],[Proucts]],DryDen[],5,FALSE))*$F$9,0)</f>
        <v>0</v>
      </c>
      <c r="G15" s="15">
        <f>IFERROR((VLOOKUP(DryFert[[#This Row],[Proucts]],DryDen[],6,FALSE))*$F$9,0)</f>
        <v>0</v>
      </c>
    </row>
    <row r="16" spans="1:9" ht="15.6" x14ac:dyDescent="0.3">
      <c r="A16" t="s">
        <v>61</v>
      </c>
      <c r="B16" s="7" t="s">
        <v>47</v>
      </c>
      <c r="C16" s="15">
        <f>IFERROR((VLOOKUP(DryFert[[#This Row],[Proucts]],DryDen[],2,FALSE))*$F$9,0)</f>
        <v>19.8</v>
      </c>
      <c r="D16" s="15">
        <f>IFERROR((VLOOKUP(DryFert[[#This Row],[Proucts]],DryDen[],3,FALSE))*$F$9,0)</f>
        <v>50.6</v>
      </c>
      <c r="E16" s="15">
        <f>IFERROR((VLOOKUP(DryFert[[#This Row],[Proucts]],DryDen[],4,FALSE))*$F$9,0)</f>
        <v>0</v>
      </c>
      <c r="F16" s="15">
        <f>IFERROR((VLOOKUP(DryFert[[#This Row],[Proucts]],DryDen[],5,FALSE))*$F$9,0)</f>
        <v>0</v>
      </c>
      <c r="G16" s="15">
        <f>IFERROR((VLOOKUP(DryFert[[#This Row],[Proucts]],DryDen[],6,FALSE))*$F$9,0)</f>
        <v>0</v>
      </c>
    </row>
    <row r="17" spans="1:7" ht="15.6" x14ac:dyDescent="0.3">
      <c r="A17" t="s">
        <v>62</v>
      </c>
      <c r="B17" s="6" t="s">
        <v>48</v>
      </c>
      <c r="C17" s="15">
        <f>IFERROR((VLOOKUP(DryFert[[#This Row],[Proucts]],DryDen[],2,FALSE))*$F$9,0)</f>
        <v>12.1</v>
      </c>
      <c r="D17" s="15">
        <f>IFERROR((VLOOKUP(DryFert[[#This Row],[Proucts]],DryDen[],3,FALSE))*$F$9,0)</f>
        <v>57.2</v>
      </c>
      <c r="E17" s="15">
        <f>IFERROR((VLOOKUP(DryFert[[#This Row],[Proucts]],DryDen[],4,FALSE))*$F$9,0)</f>
        <v>0</v>
      </c>
      <c r="F17" s="15">
        <f>IFERROR((VLOOKUP(DryFert[[#This Row],[Proucts]],DryDen[],5,FALSE))*$F$9,0)</f>
        <v>0</v>
      </c>
      <c r="G17" s="15">
        <f>IFERROR((VLOOKUP(DryFert[[#This Row],[Proucts]],DryDen[],6,FALSE))*$F$9,0)</f>
        <v>0</v>
      </c>
    </row>
    <row r="18" spans="1:7" ht="15.6" x14ac:dyDescent="0.3">
      <c r="A18" t="s">
        <v>63</v>
      </c>
      <c r="B18" s="7" t="s">
        <v>49</v>
      </c>
      <c r="C18" s="15">
        <f>IFERROR((VLOOKUP(DryFert[[#This Row],[Proucts]],DryDen[],2,FALSE))*$F$9,0)</f>
        <v>23.099999999999998</v>
      </c>
      <c r="D18" s="15">
        <f>IFERROR((VLOOKUP(DryFert[[#This Row],[Proucts]],DryDen[],3,FALSE))*$F$9,0)</f>
        <v>0</v>
      </c>
      <c r="E18" s="15">
        <f>IFERROR((VLOOKUP(DryFert[[#This Row],[Proucts]],DryDen[],4,FALSE))*$F$9,0)</f>
        <v>0</v>
      </c>
      <c r="F18" s="15">
        <f>IFERROR((VLOOKUP(DryFert[[#This Row],[Proucts]],DryDen[],5,FALSE))*$F$9,0)</f>
        <v>26.4</v>
      </c>
      <c r="G18" s="15">
        <f>IFERROR((VLOOKUP(DryFert[[#This Row],[Proucts]],DryDen[],6,FALSE))*$F$9,0)</f>
        <v>0</v>
      </c>
    </row>
    <row r="20" spans="1:7" x14ac:dyDescent="0.3">
      <c r="B20" t="s">
        <v>44</v>
      </c>
    </row>
  </sheetData>
  <mergeCells count="4">
    <mergeCell ref="D3:E3"/>
    <mergeCell ref="F3:G3"/>
    <mergeCell ref="D9:E9"/>
    <mergeCell ref="B11:G1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Y D A A B Q S w M E F A A C A A g A D G J G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D G J G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i R l g x r I y D 4 A A A A I Y B A A A T A B w A R m 9 y b X V s Y X M v U 2 V j d G l v b j E u b S C i G A A o o B Q A A A A A A A A A A A A A A A A A A A A A A A A A A A B t j 0 1 L w 0 A Q h u + B / I d x e m k h B A T x U n r Q I C J K K S Q g W H r Y p K M N 3 c z o f k B D y H 9 3 w x 7 8 I H M Z e J 6 Z d x h L j W u F o Y z 9 e p 0 m a W J P y t A R X t q v O 1 a 6 t 6 2 F D W h y a Q K h S v G m o U A e L g 3 p v P D G E L t X M e d a 5 L x c D f u t 6 m i D v 9 b x M O 4 L Y R f m D l l M W W B x U v w R z l T 9 J 2 G I W 1 x h p W p N e W U U 2 3 c x X S H a d z x 5 u 4 x X s 2 F A 3 B k 5 + s Z Z x A x c k O D o 4 s Y M g n p U W g v / G P Z d T S a 6 7 U S f 2 N 3 e 5 F N k h L s 5 + D w H y z l 4 / x e C 4 j 6 K N / 4 3 P q 4 w T V q e f X 7 9 D V B L A Q I t A B Q A A g A I A A x i R l j 0 d A 9 2 p A A A A P Y A A A A S A A A A A A A A A A A A A A A A A A A A A A B D b 2 5 m a W c v U G F j a 2 F n Z S 5 4 b W x Q S w E C L Q A U A A I A C A A M Y k Z Y D 8 r p q 6 Q A A A D p A A A A E w A A A A A A A A A A A A A A A A D w A A A A W 0 N v b n R l b n R f V H l w Z X N d L n h t b F B L A Q I t A B Q A A g A I A A x i R l g x r I y D 4 A A A A I Y B A A A T A A A A A A A A A A A A A A A A A O E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4 F A A A A A A A A z A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p c U F u Y W x 5 c 2 l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R i N j Q 4 O D U t O G E y Z S 0 0 M z k 2 L T g z N 2 U t Z j A 4 O W M w N T N i M j R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y L T A 2 V D E 2 O j M 0 O j U w L j k x N z g x M z Z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T G l x Q W 5 h b H l z a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x Q W 5 h b H l z a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o v p h x V C N 0 y d + w e P 6 6 t m F A A A A A A C A A A A A A A Q Z g A A A A E A A C A A A A B Z b K x B W X c h i m l w W 8 t A D n y K 5 B R S 3 r Z k I 8 f T I c M C y r Q E L w A A A A A O g A A A A A I A A C A A A A A c j z O d P 1 z I 9 U E p u q S i F I f + n m h i V v T X t e 0 w c E k 0 8 m M J A V A A A A B d h M F x G U L R M p R V z k 1 C W D O r W S H L x f u g K / C H G l r / d C d K w 8 4 w V i a R 8 N S V h u e a h j y V L 9 6 i d M H d 9 S g u 5 Y e C 1 W V 2 Q G 3 b g n c Z A h x A U D O r J 8 r 2 6 U d S 3 0 A A A A B i Z y y 5 D 9 5 c 3 8 A d x R b u Y F m 7 1 A m 7 C e D V s k s r 2 + 1 Z W q C l x F m s o / w j H V C / y Z L D h R v R 7 a B M 9 / n q N 7 c 0 l 6 f M e x 8 9 Z Q t U < / D a t a M a s h u p > 
</file>

<file path=customXml/itemProps1.xml><?xml version="1.0" encoding="utf-8"?>
<ds:datastoreItem xmlns:ds="http://schemas.openxmlformats.org/officeDocument/2006/customXml" ds:itemID="{B52A5EBA-C53A-4E1F-A7E4-973096D246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Liquid Scenarios</vt:lpstr>
      <vt:lpstr>Dry Blend</vt:lpstr>
      <vt:lpstr>Input Data</vt:lpstr>
      <vt:lpstr>Liquid Fertilizers</vt:lpstr>
      <vt:lpstr>Dry Fertilizers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mhaub</dc:creator>
  <cp:lastModifiedBy>Molly Haub</cp:lastModifiedBy>
  <dcterms:created xsi:type="dcterms:W3CDTF">2018-11-09T15:22:06Z</dcterms:created>
  <dcterms:modified xsi:type="dcterms:W3CDTF">2024-11-07T16:18:40Z</dcterms:modified>
</cp:coreProperties>
</file>